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退避保存用フォルダ\"/>
    </mc:Choice>
  </mc:AlternateContent>
  <bookViews>
    <workbookView xWindow="3348" yWindow="0" windowWidth="19200" windowHeight="8892" firstSheet="6" activeTab="18"/>
  </bookViews>
  <sheets>
    <sheet name="目次" sheetId="13" r:id="rId1"/>
    <sheet name="例題 1章" sheetId="33" r:id="rId2"/>
    <sheet name="例題 2章" sheetId="34" r:id="rId3"/>
    <sheet name="①" sheetId="14" r:id="rId4"/>
    <sheet name="②" sheetId="15" r:id="rId5"/>
    <sheet name="③" sheetId="16" r:id="rId6"/>
    <sheet name="④" sheetId="17" r:id="rId7"/>
    <sheet name="⑤" sheetId="18" r:id="rId8"/>
    <sheet name="⑥" sheetId="19" r:id="rId9"/>
    <sheet name="⑦" sheetId="20" r:id="rId10"/>
    <sheet name="⑧" sheetId="21" r:id="rId11"/>
    <sheet name="⑨" sheetId="22" r:id="rId12"/>
    <sheet name="⑩" sheetId="23" r:id="rId13"/>
    <sheet name="⑪" sheetId="24" r:id="rId14"/>
    <sheet name="⑫" sheetId="25" r:id="rId15"/>
    <sheet name="⑬" sheetId="26" r:id="rId16"/>
    <sheet name="⑭" sheetId="27" r:id="rId17"/>
    <sheet name="⑮" sheetId="28" r:id="rId18"/>
    <sheet name="⑰" sheetId="29" r:id="rId19"/>
    <sheet name="⑱" sheetId="30" r:id="rId20"/>
    <sheet name="⑲" sheetId="31" r:id="rId2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34" l="1"/>
  <c r="C17" i="34"/>
  <c r="D19" i="34"/>
  <c r="C20" i="34" s="1"/>
  <c r="C33" i="34"/>
  <c r="D33" i="34"/>
  <c r="E33" i="34"/>
  <c r="F33" i="34"/>
  <c r="C36" i="34"/>
  <c r="C38" i="34"/>
  <c r="C40" i="34"/>
  <c r="D40" i="34"/>
  <c r="E40" i="34"/>
  <c r="F40" i="34"/>
  <c r="C41" i="34"/>
  <c r="J53" i="34"/>
  <c r="M53" i="34"/>
  <c r="J57" i="34"/>
  <c r="M57" i="34"/>
  <c r="J61" i="34"/>
  <c r="M61" i="34"/>
  <c r="D76" i="34"/>
  <c r="D78" i="34" s="1"/>
  <c r="C78" i="34"/>
  <c r="C79" i="34"/>
  <c r="D87" i="34"/>
  <c r="D89" i="34" s="1"/>
  <c r="C89" i="34"/>
  <c r="C90" i="34"/>
  <c r="K101" i="34"/>
  <c r="K102" i="34"/>
  <c r="C107" i="34"/>
  <c r="C108" i="34"/>
  <c r="K112" i="34"/>
  <c r="M112" i="34"/>
  <c r="K114" i="34"/>
  <c r="K116" i="34" s="1"/>
  <c r="H116" i="34"/>
  <c r="C117" i="34"/>
  <c r="C118" i="34"/>
  <c r="C138" i="34"/>
  <c r="D139" i="34"/>
  <c r="E139" i="34"/>
  <c r="F139" i="34"/>
  <c r="J140" i="34"/>
  <c r="J143" i="34" s="1"/>
  <c r="J144" i="34" s="1"/>
  <c r="K140" i="34"/>
  <c r="L140" i="34"/>
  <c r="L141" i="34" s="1"/>
  <c r="L143" i="34" s="1"/>
  <c r="L144" i="34" s="1"/>
  <c r="K141" i="34"/>
  <c r="D140" i="34" s="1"/>
  <c r="E140" i="34" s="1"/>
  <c r="K143" i="34"/>
  <c r="K145" i="34"/>
  <c r="F143" i="34" s="1"/>
  <c r="C161" i="34"/>
  <c r="D161" i="34"/>
  <c r="E161" i="34"/>
  <c r="F161" i="34"/>
  <c r="C162" i="34"/>
  <c r="D162" i="34"/>
  <c r="E162" i="34"/>
  <c r="F162" i="34"/>
  <c r="C163" i="34"/>
  <c r="D163" i="34"/>
  <c r="E163" i="34"/>
  <c r="F163" i="34"/>
  <c r="C164" i="34"/>
  <c r="C145" i="34" s="1"/>
  <c r="C146" i="34" s="1"/>
  <c r="D164" i="34"/>
  <c r="E164" i="34"/>
  <c r="E145" i="34" s="1"/>
  <c r="F164" i="34"/>
  <c r="G13" i="33"/>
  <c r="G16" i="33" s="1"/>
  <c r="H25" i="33" s="1"/>
  <c r="G15" i="33"/>
  <c r="C16" i="33"/>
  <c r="H28" i="33"/>
  <c r="D49" i="33"/>
  <c r="B50" i="33"/>
  <c r="D50" i="33" s="1"/>
  <c r="D51" i="33" s="1"/>
  <c r="H50" i="33"/>
  <c r="O62" i="33"/>
  <c r="S62" i="33"/>
  <c r="T62" i="33"/>
  <c r="T67" i="33" s="1"/>
  <c r="T69" i="33" s="1"/>
  <c r="N63" i="33"/>
  <c r="E64" i="33"/>
  <c r="L64" i="33"/>
  <c r="M64" i="33"/>
  <c r="N64" i="33"/>
  <c r="S64" i="33"/>
  <c r="M65" i="33"/>
  <c r="S65" i="33"/>
  <c r="B66" i="33"/>
  <c r="S66" i="33"/>
  <c r="T66" i="33" s="1"/>
  <c r="B69" i="33"/>
  <c r="D87" i="33"/>
  <c r="H87" i="33"/>
  <c r="H90" i="33" s="1"/>
  <c r="D90" i="33"/>
  <c r="D93" i="33" s="1"/>
  <c r="E102" i="33"/>
  <c r="E103" i="33"/>
  <c r="E104" i="33" s="1"/>
  <c r="B104" i="33"/>
  <c r="C104" i="33"/>
  <c r="D104" i="33"/>
  <c r="D108" i="33" s="1"/>
  <c r="E106" i="33"/>
  <c r="E107" i="33"/>
  <c r="B108" i="33"/>
  <c r="C108" i="33"/>
  <c r="E108" i="33" s="1"/>
  <c r="E113" i="33" s="1"/>
  <c r="I124" i="33"/>
  <c r="J130" i="33" s="1"/>
  <c r="D128" i="33"/>
  <c r="L145" i="34" l="1"/>
  <c r="F144" i="34"/>
  <c r="F140" i="34"/>
  <c r="E146" i="34"/>
  <c r="E148" i="34" s="1"/>
  <c r="H37" i="33"/>
  <c r="H38" i="33" s="1"/>
  <c r="H30" i="33"/>
  <c r="C148" i="34"/>
  <c r="J145" i="34"/>
  <c r="F142" i="34" s="1"/>
  <c r="F146" i="34" s="1"/>
  <c r="F148" i="34" s="1"/>
  <c r="J118" i="34"/>
  <c r="J119" i="34" s="1"/>
  <c r="D114" i="34" s="1"/>
  <c r="K118" i="34"/>
  <c r="C65" i="33"/>
  <c r="D145" i="34"/>
  <c r="D146" i="34" s="1"/>
  <c r="D104" i="34"/>
  <c r="F145" i="34"/>
  <c r="D148" i="34" l="1"/>
  <c r="C147" i="34"/>
  <c r="D118" i="34"/>
  <c r="E114" i="34"/>
  <c r="D117" i="34"/>
  <c r="C149" i="34"/>
  <c r="E65" i="33"/>
  <c r="L65" i="33"/>
  <c r="D107" i="34"/>
  <c r="D108" i="34" s="1"/>
  <c r="E104" i="34"/>
  <c r="F114" i="34" l="1"/>
  <c r="E117" i="34"/>
  <c r="E118" i="34"/>
  <c r="N65" i="33"/>
  <c r="E66" i="33"/>
  <c r="F104" i="34"/>
  <c r="E107" i="34"/>
  <c r="E108" i="34" s="1"/>
  <c r="G104" i="34" l="1"/>
  <c r="F107" i="34"/>
  <c r="F108" i="34" s="1"/>
  <c r="E69" i="33"/>
  <c r="E71" i="33" s="1"/>
  <c r="N66" i="33"/>
  <c r="O66" i="33" s="1"/>
  <c r="O67" i="33" s="1"/>
  <c r="O69" i="33" s="1"/>
  <c r="O71" i="33" s="1"/>
  <c r="H64" i="33"/>
  <c r="G114" i="34"/>
  <c r="F117" i="34"/>
  <c r="F118" i="34"/>
  <c r="G118" i="34" l="1"/>
  <c r="H114" i="34"/>
  <c r="G117" i="34"/>
  <c r="H104" i="34"/>
  <c r="H107" i="34" s="1"/>
  <c r="H108" i="34" s="1"/>
  <c r="C109" i="34" s="1"/>
  <c r="G107" i="34"/>
  <c r="G108" i="34" s="1"/>
  <c r="H118" i="34" l="1"/>
  <c r="C119" i="34" s="1"/>
  <c r="H117" i="34"/>
  <c r="D67" i="31" l="1"/>
  <c r="D66" i="31"/>
  <c r="D60" i="31" l="1"/>
  <c r="D61" i="31"/>
  <c r="G50" i="31"/>
  <c r="E61" i="31" s="1"/>
  <c r="G49" i="31"/>
  <c r="F60" i="31" s="1"/>
  <c r="G45" i="31"/>
  <c r="E57" i="31" s="1"/>
  <c r="G44" i="31"/>
  <c r="E56" i="31" s="1"/>
  <c r="F27" i="31"/>
  <c r="E27" i="31"/>
  <c r="E33" i="31" s="1"/>
  <c r="D27" i="31"/>
  <c r="D14" i="31"/>
  <c r="D15" i="31" s="1"/>
  <c r="F29" i="31"/>
  <c r="E29" i="31"/>
  <c r="D29" i="31"/>
  <c r="E32" i="30"/>
  <c r="E31" i="30"/>
  <c r="E33" i="30" s="1"/>
  <c r="E28" i="30"/>
  <c r="E27" i="30"/>
  <c r="E29" i="30" s="1"/>
  <c r="D32" i="30"/>
  <c r="D31" i="30"/>
  <c r="D28" i="30"/>
  <c r="D27" i="30"/>
  <c r="E23" i="30"/>
  <c r="D23" i="30"/>
  <c r="D56" i="29"/>
  <c r="D33" i="30" l="1"/>
  <c r="D29" i="30"/>
  <c r="F29" i="30" s="1"/>
  <c r="F61" i="31"/>
  <c r="E60" i="31"/>
  <c r="F33" i="30"/>
  <c r="F56" i="31"/>
  <c r="D56" i="31"/>
  <c r="D57" i="31"/>
  <c r="F57" i="31"/>
  <c r="E32" i="31"/>
  <c r="E36" i="31" s="1"/>
  <c r="D16" i="31"/>
  <c r="F16" i="31"/>
  <c r="E16" i="31"/>
  <c r="D33" i="29"/>
  <c r="E33" i="29" s="1"/>
  <c r="F33" i="29" s="1"/>
  <c r="G33" i="29" s="1"/>
  <c r="H33" i="29" s="1"/>
  <c r="I33" i="29" s="1"/>
  <c r="I31" i="29"/>
  <c r="I48" i="29" s="1"/>
  <c r="F31" i="29"/>
  <c r="F48" i="29" s="1"/>
  <c r="F30" i="29"/>
  <c r="F47" i="29" s="1"/>
  <c r="C30" i="29"/>
  <c r="C47" i="29" s="1"/>
  <c r="C51" i="29" s="1"/>
  <c r="C52" i="29" s="1"/>
  <c r="G9" i="29"/>
  <c r="G13" i="29" s="1"/>
  <c r="D22" i="29"/>
  <c r="E22" i="29" s="1"/>
  <c r="F22" i="29" s="1"/>
  <c r="G22" i="29" s="1"/>
  <c r="H22" i="29" s="1"/>
  <c r="I22" i="29" s="1"/>
  <c r="I20" i="29"/>
  <c r="G20" i="29"/>
  <c r="E20" i="29"/>
  <c r="G19" i="29"/>
  <c r="E19" i="29"/>
  <c r="C19" i="29"/>
  <c r="C23" i="29" s="1"/>
  <c r="C24" i="29" s="1"/>
  <c r="M21" i="29"/>
  <c r="D32" i="29" s="1"/>
  <c r="D49" i="29" s="1"/>
  <c r="D51" i="29" s="1"/>
  <c r="D52" i="29" s="1"/>
  <c r="L21" i="29"/>
  <c r="D21" i="29" s="1"/>
  <c r="H34" i="28"/>
  <c r="G34" i="28"/>
  <c r="F34" i="28"/>
  <c r="E34" i="28"/>
  <c r="H31" i="28"/>
  <c r="D19" i="28"/>
  <c r="H23" i="28"/>
  <c r="G23" i="28"/>
  <c r="F23" i="28"/>
  <c r="E23" i="28"/>
  <c r="D24" i="28"/>
  <c r="H21" i="28"/>
  <c r="H18" i="28"/>
  <c r="D16" i="28"/>
  <c r="D15" i="28"/>
  <c r="D38" i="28"/>
  <c r="F31" i="31" l="1"/>
  <c r="F43" i="31" s="1"/>
  <c r="F48" i="31"/>
  <c r="F47" i="31"/>
  <c r="D31" i="31"/>
  <c r="D43" i="31" s="1"/>
  <c r="D47" i="31"/>
  <c r="D48" i="31"/>
  <c r="D32" i="31"/>
  <c r="E31" i="31"/>
  <c r="E43" i="31" s="1"/>
  <c r="E47" i="31"/>
  <c r="E48" i="31"/>
  <c r="E37" i="31"/>
  <c r="F32" i="31"/>
  <c r="D23" i="29"/>
  <c r="D24" i="29" s="1"/>
  <c r="E21" i="29"/>
  <c r="D34" i="29"/>
  <c r="D35" i="29" s="1"/>
  <c r="E32" i="29"/>
  <c r="C34" i="29"/>
  <c r="C35" i="29" s="1"/>
  <c r="D25" i="28"/>
  <c r="L16" i="28"/>
  <c r="L19" i="28"/>
  <c r="P21" i="28"/>
  <c r="M23" i="28"/>
  <c r="N23" i="28"/>
  <c r="O23" i="28"/>
  <c r="P23" i="28"/>
  <c r="L24" i="28"/>
  <c r="M34" i="28"/>
  <c r="N34" i="28"/>
  <c r="O34" i="28"/>
  <c r="P34" i="28"/>
  <c r="L38" i="28"/>
  <c r="L48" i="28" s="1"/>
  <c r="C49" i="28"/>
  <c r="C52" i="28" s="1"/>
  <c r="C53" i="28" s="1"/>
  <c r="D49" i="28"/>
  <c r="M17" i="28" s="1"/>
  <c r="E49" i="28"/>
  <c r="M20" i="28" s="1"/>
  <c r="N20" i="28" s="1"/>
  <c r="O20" i="28" s="1"/>
  <c r="P20" i="28" s="1"/>
  <c r="C56" i="28"/>
  <c r="C57" i="28" s="1"/>
  <c r="P31" i="28" s="1"/>
  <c r="D56" i="28"/>
  <c r="D57" i="28" s="1"/>
  <c r="P18" i="28" s="1"/>
  <c r="F64" i="28"/>
  <c r="F65" i="28" s="1"/>
  <c r="F66" i="28" s="1"/>
  <c r="G64" i="28"/>
  <c r="H64" i="28" s="1"/>
  <c r="H65" i="28" s="1"/>
  <c r="H66" i="28" s="1"/>
  <c r="E65" i="28"/>
  <c r="E66" i="28" s="1"/>
  <c r="F72" i="28"/>
  <c r="E74" i="28"/>
  <c r="E75" i="28" s="1"/>
  <c r="F74" i="28"/>
  <c r="F75" i="28" s="1"/>
  <c r="E76" i="28"/>
  <c r="E77" i="28" s="1"/>
  <c r="F76" i="28"/>
  <c r="F77" i="28" s="1"/>
  <c r="H12" i="27"/>
  <c r="H14" i="27" s="1"/>
  <c r="H15" i="27" s="1"/>
  <c r="H34" i="27" s="1"/>
  <c r="L14" i="27"/>
  <c r="L15" i="27" s="1"/>
  <c r="L44" i="27" s="1"/>
  <c r="L20" i="27"/>
  <c r="L21" i="27"/>
  <c r="L22" i="27" s="1"/>
  <c r="L38" i="27" s="1"/>
  <c r="H23" i="27"/>
  <c r="H24" i="27"/>
  <c r="J25" i="27"/>
  <c r="K25" i="27" s="1"/>
  <c r="L26" i="27"/>
  <c r="I27" i="27"/>
  <c r="I28" i="27" s="1"/>
  <c r="I29" i="27"/>
  <c r="H35" i="27"/>
  <c r="I37" i="27"/>
  <c r="J37" i="27" s="1"/>
  <c r="K37" i="27" s="1"/>
  <c r="L37" i="27" s="1"/>
  <c r="I46" i="27"/>
  <c r="J46" i="27" s="1"/>
  <c r="I47" i="27"/>
  <c r="J47" i="27" s="1"/>
  <c r="K47" i="27" s="1"/>
  <c r="L47" i="27" s="1"/>
  <c r="I49" i="27"/>
  <c r="I50" i="27"/>
  <c r="C13" i="26"/>
  <c r="D15" i="26"/>
  <c r="E15" i="26"/>
  <c r="F15" i="26"/>
  <c r="G15" i="26"/>
  <c r="D16" i="26"/>
  <c r="E16" i="26"/>
  <c r="F16" i="26"/>
  <c r="G16" i="26"/>
  <c r="D18" i="26"/>
  <c r="E18" i="26"/>
  <c r="F18" i="26"/>
  <c r="G18" i="26"/>
  <c r="C21" i="26"/>
  <c r="C23" i="26" s="1"/>
  <c r="C25" i="26" s="1"/>
  <c r="N26" i="26"/>
  <c r="D27" i="26"/>
  <c r="C30" i="26"/>
  <c r="M37" i="26"/>
  <c r="M57" i="26" s="1"/>
  <c r="M58" i="26" s="1"/>
  <c r="M59" i="26" s="1"/>
  <c r="M60" i="26" s="1"/>
  <c r="L42" i="26"/>
  <c r="D20" i="26" s="1"/>
  <c r="M42" i="26"/>
  <c r="E20" i="26" s="1"/>
  <c r="M47" i="26"/>
  <c r="N47" i="26"/>
  <c r="O47" i="26"/>
  <c r="P47" i="26"/>
  <c r="L49" i="26"/>
  <c r="M49" i="26"/>
  <c r="N49" i="26"/>
  <c r="O49" i="26"/>
  <c r="L50" i="26"/>
  <c r="M50" i="26"/>
  <c r="N50" i="26"/>
  <c r="O50" i="26"/>
  <c r="L51" i="26"/>
  <c r="M51" i="26"/>
  <c r="N51" i="26"/>
  <c r="O51" i="26"/>
  <c r="L52" i="26"/>
  <c r="M52" i="26"/>
  <c r="N52" i="26"/>
  <c r="O53" i="26" s="1"/>
  <c r="F21" i="26" s="1"/>
  <c r="O52" i="26"/>
  <c r="P53" i="26" s="1"/>
  <c r="G21" i="26" s="1"/>
  <c r="L53" i="26"/>
  <c r="M53" i="26"/>
  <c r="D21" i="26" s="1"/>
  <c r="N53" i="26"/>
  <c r="E21" i="26" s="1"/>
  <c r="L57" i="26"/>
  <c r="L58" i="26"/>
  <c r="N58" i="26"/>
  <c r="N59" i="26" s="1"/>
  <c r="N60" i="26" s="1"/>
  <c r="C11" i="25"/>
  <c r="C14" i="25"/>
  <c r="H14" i="25" s="1"/>
  <c r="M14" i="25"/>
  <c r="M19" i="25" s="1"/>
  <c r="M21" i="25" s="1"/>
  <c r="M22" i="25" s="1"/>
  <c r="L20" i="25"/>
  <c r="L21" i="25" s="1"/>
  <c r="L22" i="25" s="1"/>
  <c r="C23" i="25"/>
  <c r="D13" i="25" s="1"/>
  <c r="G33" i="25"/>
  <c r="D11" i="25" s="1"/>
  <c r="C34" i="25"/>
  <c r="C36" i="25" s="1"/>
  <c r="H35" i="25"/>
  <c r="C13" i="24"/>
  <c r="I13" i="24"/>
  <c r="O13" i="24"/>
  <c r="C16" i="24"/>
  <c r="I16" i="24"/>
  <c r="O16" i="24"/>
  <c r="D13" i="23"/>
  <c r="D11" i="23" s="1"/>
  <c r="K25" i="23" s="1"/>
  <c r="K23" i="23" s="1"/>
  <c r="M19" i="23" s="1"/>
  <c r="K13" i="23"/>
  <c r="C15" i="23"/>
  <c r="K21" i="23"/>
  <c r="H11" i="22"/>
  <c r="H15" i="22" s="1"/>
  <c r="C15" i="22"/>
  <c r="D15" i="22"/>
  <c r="E15" i="22"/>
  <c r="F15" i="22"/>
  <c r="G15" i="22"/>
  <c r="C19" i="22"/>
  <c r="C13" i="21"/>
  <c r="D13" i="21"/>
  <c r="E13" i="21"/>
  <c r="F13" i="21"/>
  <c r="C16" i="21" s="1"/>
  <c r="I13" i="21"/>
  <c r="J13" i="21"/>
  <c r="K13" i="21"/>
  <c r="L13" i="21"/>
  <c r="O13" i="21"/>
  <c r="P13" i="21"/>
  <c r="Q13" i="21"/>
  <c r="R13" i="21"/>
  <c r="O14" i="21" s="1"/>
  <c r="C18" i="21"/>
  <c r="I18" i="21"/>
  <c r="O18" i="21"/>
  <c r="E17" i="20"/>
  <c r="D24" i="20" s="1"/>
  <c r="C30" i="20"/>
  <c r="E30" i="20"/>
  <c r="C31" i="20"/>
  <c r="C33" i="20" s="1"/>
  <c r="D12" i="19"/>
  <c r="D15" i="19"/>
  <c r="D16" i="19" s="1"/>
  <c r="D22" i="19" s="1"/>
  <c r="D21" i="19"/>
  <c r="F16" i="18"/>
  <c r="G16" i="18"/>
  <c r="G19" i="18" s="1"/>
  <c r="F21" i="18"/>
  <c r="F23" i="18"/>
  <c r="H23" i="18"/>
  <c r="I23" i="18"/>
  <c r="F28" i="18"/>
  <c r="F29" i="18"/>
  <c r="H29" i="18"/>
  <c r="I29" i="18"/>
  <c r="C33" i="18"/>
  <c r="C34" i="18"/>
  <c r="F40" i="18"/>
  <c r="G40" i="18"/>
  <c r="F42" i="18" s="1"/>
  <c r="H40" i="18"/>
  <c r="G50" i="18" s="1"/>
  <c r="G52" i="18" s="1"/>
  <c r="I40" i="18"/>
  <c r="H44" i="18"/>
  <c r="H61" i="18" s="1"/>
  <c r="I44" i="18"/>
  <c r="I56" i="18" s="1"/>
  <c r="H50" i="18"/>
  <c r="H51" i="18"/>
  <c r="H55" i="18"/>
  <c r="H57" i="18"/>
  <c r="G60" i="18"/>
  <c r="G62" i="18" s="1"/>
  <c r="E18" i="17"/>
  <c r="N18" i="17"/>
  <c r="G44" i="17" s="1"/>
  <c r="C19" i="17"/>
  <c r="E19" i="17"/>
  <c r="L19" i="17"/>
  <c r="N19" i="17"/>
  <c r="G45" i="17" s="1"/>
  <c r="E20" i="17"/>
  <c r="C32" i="17" s="1"/>
  <c r="N20" i="17"/>
  <c r="G46" i="17" s="1"/>
  <c r="E29" i="17"/>
  <c r="E39" i="17" s="1"/>
  <c r="C30" i="17"/>
  <c r="C33" i="17"/>
  <c r="C34" i="17"/>
  <c r="H39" i="17"/>
  <c r="E43" i="17"/>
  <c r="G43" i="17"/>
  <c r="G47" i="17" s="1"/>
  <c r="E47" i="17"/>
  <c r="C15" i="16"/>
  <c r="D15" i="16"/>
  <c r="D34" i="16"/>
  <c r="C37" i="16"/>
  <c r="E44" i="16"/>
  <c r="F15" i="15"/>
  <c r="H15" i="15"/>
  <c r="L15" i="15"/>
  <c r="L16" i="15"/>
  <c r="D17" i="15"/>
  <c r="E17" i="15" s="1"/>
  <c r="F19" i="15" s="1"/>
  <c r="D18" i="15"/>
  <c r="E18" i="15"/>
  <c r="J18" i="15"/>
  <c r="D19" i="15"/>
  <c r="E19" i="15"/>
  <c r="J19" i="15"/>
  <c r="E21" i="15"/>
  <c r="H21" i="15"/>
  <c r="J21" i="15"/>
  <c r="J23" i="15"/>
  <c r="F24" i="15"/>
  <c r="H24" i="15"/>
  <c r="J24" i="15"/>
  <c r="L24" i="15" s="1"/>
  <c r="K33" i="15"/>
  <c r="J34" i="15"/>
  <c r="J35" i="15"/>
  <c r="I40" i="15"/>
  <c r="I41" i="15" s="1"/>
  <c r="K18" i="15" s="1"/>
  <c r="G17" i="14"/>
  <c r="L18" i="14"/>
  <c r="L19" i="14" s="1"/>
  <c r="B18" i="14" s="1"/>
  <c r="D18" i="14" s="1"/>
  <c r="D22" i="14"/>
  <c r="F34" i="14"/>
  <c r="F37" i="14"/>
  <c r="D38" i="14"/>
  <c r="F38" i="14" s="1"/>
  <c r="E38" i="14"/>
  <c r="E39" i="14" s="1"/>
  <c r="D39" i="14"/>
  <c r="E40" i="14"/>
  <c r="E41" i="14" s="1"/>
  <c r="F41" i="14" s="1"/>
  <c r="D41" i="14"/>
  <c r="K27" i="27" l="1"/>
  <c r="K28" i="27" s="1"/>
  <c r="L25" i="27"/>
  <c r="L27" i="27" s="1"/>
  <c r="L28" i="27" s="1"/>
  <c r="M36" i="28"/>
  <c r="E36" i="28"/>
  <c r="F20" i="15"/>
  <c r="F22" i="15" s="1"/>
  <c r="F25" i="15" s="1"/>
  <c r="J49" i="27"/>
  <c r="J50" i="27" s="1"/>
  <c r="K46" i="27"/>
  <c r="J17" i="15"/>
  <c r="D16" i="16"/>
  <c r="F16" i="16" s="1"/>
  <c r="C21" i="16" s="1"/>
  <c r="D23" i="25"/>
  <c r="E13" i="25" s="1"/>
  <c r="N42" i="26"/>
  <c r="D34" i="26"/>
  <c r="I36" i="27"/>
  <c r="J27" i="27"/>
  <c r="J28" i="27" s="1"/>
  <c r="M22" i="28"/>
  <c r="E22" i="28"/>
  <c r="E25" i="28" s="1"/>
  <c r="L15" i="28"/>
  <c r="L25" i="28" s="1"/>
  <c r="L45" i="28" s="1"/>
  <c r="E31" i="20"/>
  <c r="E33" i="20" s="1"/>
  <c r="H39" i="27"/>
  <c r="H40" i="27" s="1"/>
  <c r="N35" i="28"/>
  <c r="F35" i="28"/>
  <c r="P22" i="28"/>
  <c r="H22" i="28"/>
  <c r="M35" i="28"/>
  <c r="E35" i="28"/>
  <c r="E38" i="28" s="1"/>
  <c r="N22" i="28"/>
  <c r="F22" i="28"/>
  <c r="M32" i="28"/>
  <c r="N32" i="28" s="1"/>
  <c r="H19" i="15"/>
  <c r="G42" i="18"/>
  <c r="O16" i="21"/>
  <c r="I16" i="21"/>
  <c r="C14" i="21"/>
  <c r="H15" i="25"/>
  <c r="H27" i="27"/>
  <c r="H28" i="27" s="1"/>
  <c r="N36" i="28"/>
  <c r="F36" i="28"/>
  <c r="N33" i="28"/>
  <c r="F33" i="28"/>
  <c r="F38" i="28" s="1"/>
  <c r="B36" i="25"/>
  <c r="D12" i="25"/>
  <c r="E12" i="25" s="1"/>
  <c r="F12" i="25" s="1"/>
  <c r="G12" i="25" s="1"/>
  <c r="H12" i="25" s="1"/>
  <c r="E23" i="25"/>
  <c r="C16" i="25"/>
  <c r="C18" i="25" s="1"/>
  <c r="G43" i="31"/>
  <c r="E62" i="31" s="1"/>
  <c r="G48" i="31"/>
  <c r="D58" i="31" s="1"/>
  <c r="G47" i="31"/>
  <c r="F55" i="31" s="1"/>
  <c r="F33" i="31"/>
  <c r="F36" i="31"/>
  <c r="D33" i="31"/>
  <c r="D36" i="31"/>
  <c r="E23" i="29"/>
  <c r="E24" i="29" s="1"/>
  <c r="F21" i="29"/>
  <c r="E49" i="29"/>
  <c r="E51" i="29" s="1"/>
  <c r="E52" i="29" s="1"/>
  <c r="F32" i="29"/>
  <c r="E34" i="29"/>
  <c r="E35" i="29" s="1"/>
  <c r="G65" i="28"/>
  <c r="G66" i="28" s="1"/>
  <c r="F25" i="28"/>
  <c r="N17" i="28"/>
  <c r="O17" i="28" s="1"/>
  <c r="M25" i="28"/>
  <c r="M45" i="28" s="1"/>
  <c r="G72" i="28"/>
  <c r="G33" i="28" s="1"/>
  <c r="I34" i="15"/>
  <c r="K34" i="15" s="1"/>
  <c r="I35" i="15"/>
  <c r="K35" i="15" s="1"/>
  <c r="K17" i="15" s="1"/>
  <c r="L19" i="15"/>
  <c r="O42" i="26"/>
  <c r="F20" i="26"/>
  <c r="F34" i="26"/>
  <c r="H20" i="15"/>
  <c r="H22" i="15" s="1"/>
  <c r="H25" i="15" s="1"/>
  <c r="N21" i="17"/>
  <c r="E21" i="17"/>
  <c r="B39" i="17" s="1"/>
  <c r="C31" i="17"/>
  <c r="I28" i="18"/>
  <c r="I30" i="18" s="1"/>
  <c r="I55" i="18"/>
  <c r="I57" i="18" s="1"/>
  <c r="K57" i="18" s="1"/>
  <c r="F24" i="18"/>
  <c r="F22" i="18"/>
  <c r="G22" i="26"/>
  <c r="L59" i="26"/>
  <c r="L60" i="26" s="1"/>
  <c r="C41" i="26" s="1"/>
  <c r="J36" i="27"/>
  <c r="I39" i="27"/>
  <c r="I40" i="27" s="1"/>
  <c r="H31" i="27"/>
  <c r="M38" i="28"/>
  <c r="M48" i="28" s="1"/>
  <c r="F39" i="14"/>
  <c r="G48" i="17"/>
  <c r="H52" i="18"/>
  <c r="K52" i="18" s="1"/>
  <c r="F30" i="18"/>
  <c r="F44" i="18"/>
  <c r="F45" i="18" s="1"/>
  <c r="H60" i="18"/>
  <c r="H62" i="18" s="1"/>
  <c r="K62" i="18" s="1"/>
  <c r="I19" i="18"/>
  <c r="I21" i="18" s="1"/>
  <c r="I22" i="18" s="1"/>
  <c r="H19" i="18"/>
  <c r="H21" i="18" s="1"/>
  <c r="H22" i="18" s="1"/>
  <c r="C17" i="22"/>
  <c r="D19" i="26"/>
  <c r="E19" i="26" s="1"/>
  <c r="L20" i="15"/>
  <c r="L22" i="15" s="1"/>
  <c r="L25" i="15" s="1"/>
  <c r="L27" i="15" s="1"/>
  <c r="E19" i="14"/>
  <c r="D40" i="14"/>
  <c r="F40" i="14" s="1"/>
  <c r="C25" i="16"/>
  <c r="C36" i="16"/>
  <c r="C38" i="16" s="1"/>
  <c r="C35" i="17"/>
  <c r="H43" i="18"/>
  <c r="H45" i="18" s="1"/>
  <c r="I43" i="18"/>
  <c r="I45" i="18" s="1"/>
  <c r="E11" i="25"/>
  <c r="D33" i="26"/>
  <c r="N38" i="28"/>
  <c r="N48" i="28" s="1"/>
  <c r="O32" i="28"/>
  <c r="E35" i="17"/>
  <c r="H35" i="17" s="1"/>
  <c r="H28" i="18"/>
  <c r="H30" i="18" s="1"/>
  <c r="H34" i="18" s="1"/>
  <c r="H24" i="18"/>
  <c r="I14" i="21"/>
  <c r="E34" i="26"/>
  <c r="H50" i="17" l="1"/>
  <c r="O22" i="28"/>
  <c r="G22" i="28"/>
  <c r="E58" i="31"/>
  <c r="K49" i="27"/>
  <c r="K50" i="27" s="1"/>
  <c r="H51" i="27" s="1"/>
  <c r="L46" i="27"/>
  <c r="L49" i="27" s="1"/>
  <c r="L50" i="27" s="1"/>
  <c r="J45" i="18"/>
  <c r="I34" i="18"/>
  <c r="F37" i="31"/>
  <c r="O25" i="28"/>
  <c r="O45" i="28" s="1"/>
  <c r="D37" i="31"/>
  <c r="D16" i="25"/>
  <c r="D18" i="25" s="1"/>
  <c r="F13" i="25"/>
  <c r="F23" i="25"/>
  <c r="D55" i="31"/>
  <c r="E55" i="31"/>
  <c r="F62" i="31"/>
  <c r="F58" i="31"/>
  <c r="D62" i="31"/>
  <c r="G36" i="31"/>
  <c r="B63" i="31" s="1"/>
  <c r="B59" i="31" s="1"/>
  <c r="F59" i="31" s="1"/>
  <c r="F49" i="29"/>
  <c r="F51" i="29" s="1"/>
  <c r="F52" i="29" s="1"/>
  <c r="G32" i="29"/>
  <c r="F34" i="29"/>
  <c r="F35" i="29" s="1"/>
  <c r="G21" i="29"/>
  <c r="F23" i="29"/>
  <c r="F24" i="29" s="1"/>
  <c r="P17" i="28"/>
  <c r="P25" i="28" s="1"/>
  <c r="P45" i="28" s="1"/>
  <c r="N25" i="28"/>
  <c r="N45" i="28" s="1"/>
  <c r="L46" i="28" s="1"/>
  <c r="H25" i="28"/>
  <c r="G25" i="28"/>
  <c r="G74" i="28"/>
  <c r="G75" i="28" s="1"/>
  <c r="G76" i="28"/>
  <c r="G77" i="28" s="1"/>
  <c r="O33" i="28"/>
  <c r="H72" i="28"/>
  <c r="H33" i="28" s="1"/>
  <c r="N62" i="18"/>
  <c r="N57" i="18"/>
  <c r="N52" i="18"/>
  <c r="E38" i="16"/>
  <c r="C46" i="16"/>
  <c r="E46" i="16" s="1"/>
  <c r="P32" i="28"/>
  <c r="E16" i="25"/>
  <c r="E18" i="25" s="1"/>
  <c r="F11" i="25"/>
  <c r="D23" i="26"/>
  <c r="F50" i="14"/>
  <c r="F51" i="14" s="1"/>
  <c r="F52" i="14" s="1"/>
  <c r="I31" i="18"/>
  <c r="P42" i="26"/>
  <c r="G20" i="26"/>
  <c r="G34" i="26"/>
  <c r="F19" i="26"/>
  <c r="E38" i="26"/>
  <c r="E23" i="26"/>
  <c r="E25" i="26" s="1"/>
  <c r="K36" i="27"/>
  <c r="J39" i="27"/>
  <c r="J40" i="27" s="1"/>
  <c r="H31" i="18"/>
  <c r="E33" i="26"/>
  <c r="D35" i="26"/>
  <c r="E20" i="14"/>
  <c r="F20" i="14" s="1"/>
  <c r="E28" i="14"/>
  <c r="H19" i="14"/>
  <c r="H20" i="14" s="1"/>
  <c r="D38" i="26"/>
  <c r="K65" i="18"/>
  <c r="N65" i="18" s="1"/>
  <c r="I24" i="18"/>
  <c r="J24" i="18" s="1"/>
  <c r="F42" i="14"/>
  <c r="F44" i="14" s="1"/>
  <c r="O36" i="28" l="1"/>
  <c r="G36" i="28"/>
  <c r="O35" i="28"/>
  <c r="G35" i="28"/>
  <c r="O38" i="28"/>
  <c r="O48" i="28" s="1"/>
  <c r="G13" i="25"/>
  <c r="G23" i="25"/>
  <c r="F63" i="31"/>
  <c r="F66" i="31" s="1"/>
  <c r="D63" i="31"/>
  <c r="E63" i="31"/>
  <c r="E66" i="31" s="1"/>
  <c r="H21" i="29"/>
  <c r="G23" i="29"/>
  <c r="G24" i="29" s="1"/>
  <c r="H32" i="29"/>
  <c r="G49" i="29"/>
  <c r="G51" i="29" s="1"/>
  <c r="G52" i="29" s="1"/>
  <c r="G34" i="29"/>
  <c r="G35" i="29" s="1"/>
  <c r="P33" i="28"/>
  <c r="H74" i="28"/>
  <c r="H75" i="28" s="1"/>
  <c r="H76" i="28"/>
  <c r="H77" i="28" s="1"/>
  <c r="H33" i="18"/>
  <c r="H35" i="18" s="1"/>
  <c r="F33" i="18"/>
  <c r="F35" i="18" s="1"/>
  <c r="D25" i="26"/>
  <c r="G11" i="25"/>
  <c r="F16" i="25"/>
  <c r="L36" i="27"/>
  <c r="L39" i="27" s="1"/>
  <c r="L40" i="27" s="1"/>
  <c r="K39" i="27"/>
  <c r="K40" i="27" s="1"/>
  <c r="H41" i="27" s="1"/>
  <c r="H54" i="27" s="1"/>
  <c r="E35" i="26"/>
  <c r="F33" i="26"/>
  <c r="F23" i="26"/>
  <c r="F25" i="26" s="1"/>
  <c r="G19" i="26"/>
  <c r="F38" i="26"/>
  <c r="I33" i="18"/>
  <c r="I35" i="18" s="1"/>
  <c r="P36" i="28" l="1"/>
  <c r="H36" i="28"/>
  <c r="E70" i="31"/>
  <c r="E71" i="31" s="1"/>
  <c r="E67" i="31"/>
  <c r="P35" i="28"/>
  <c r="H35" i="28"/>
  <c r="H38" i="28" s="1"/>
  <c r="D70" i="31"/>
  <c r="D71" i="31" s="1"/>
  <c r="F67" i="31"/>
  <c r="F70" i="31"/>
  <c r="F71" i="31" s="1"/>
  <c r="G38" i="28"/>
  <c r="H13" i="25"/>
  <c r="H23" i="25"/>
  <c r="I21" i="29"/>
  <c r="I23" i="29" s="1"/>
  <c r="I24" i="29" s="1"/>
  <c r="H23" i="29"/>
  <c r="H24" i="29" s="1"/>
  <c r="I32" i="29"/>
  <c r="H49" i="29"/>
  <c r="H51" i="29" s="1"/>
  <c r="H52" i="29" s="1"/>
  <c r="H34" i="29"/>
  <c r="H35" i="29" s="1"/>
  <c r="P38" i="28"/>
  <c r="P48" i="28" s="1"/>
  <c r="L49" i="28" s="1"/>
  <c r="L51" i="28" s="1"/>
  <c r="J35" i="18"/>
  <c r="F18" i="25"/>
  <c r="G23" i="26"/>
  <c r="G25" i="26" s="1"/>
  <c r="G38" i="26"/>
  <c r="G16" i="25"/>
  <c r="G18" i="25" s="1"/>
  <c r="H11" i="25"/>
  <c r="H16" i="25" s="1"/>
  <c r="H18" i="25" s="1"/>
  <c r="C26" i="26"/>
  <c r="C44" i="26" s="1"/>
  <c r="F35" i="26"/>
  <c r="G33" i="26"/>
  <c r="G35" i="26" s="1"/>
  <c r="C25" i="29" l="1"/>
  <c r="I49" i="29"/>
  <c r="I51" i="29" s="1"/>
  <c r="I52" i="29" s="1"/>
  <c r="I34" i="29"/>
  <c r="I35" i="29" s="1"/>
  <c r="C36" i="29" s="1"/>
  <c r="C41" i="29" s="1"/>
  <c r="C54" i="29"/>
  <c r="C47" i="26"/>
  <c r="C19" i="25"/>
  <c r="C20" i="25"/>
  <c r="C58" i="29" l="1"/>
  <c r="C59" i="29" s="1"/>
</calcChain>
</file>

<file path=xl/comments1.xml><?xml version="1.0" encoding="utf-8"?>
<comments xmlns="http://schemas.openxmlformats.org/spreadsheetml/2006/main">
  <authors>
    <author>systemuser</author>
  </authors>
  <commentList>
    <comment ref="B18" authorId="0" shapeId="0">
      <text>
        <r>
          <rPr>
            <sz val="9"/>
            <color indexed="81"/>
            <rFont val="ＭＳ Ｐゴシック"/>
            <family val="3"/>
            <charset val="128"/>
          </rPr>
          <t>ここは変動分だけにしたいので、右図の固変分解を行い、単価1，000円を使う。</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systemuser</author>
  </authors>
  <commentList>
    <comment ref="B17" authorId="0" shapeId="0">
      <text>
        <r>
          <rPr>
            <b/>
            <sz val="9"/>
            <color indexed="81"/>
            <rFont val="ＭＳ Ｐゴシック"/>
            <family val="3"/>
            <charset val="128"/>
          </rPr>
          <t>値引きは後で考慮する。ここは一旦1,000円で。</t>
        </r>
      </text>
    </comment>
  </commentList>
</comments>
</file>

<file path=xl/comments3.xml><?xml version="1.0" encoding="utf-8"?>
<comments xmlns="http://schemas.openxmlformats.org/spreadsheetml/2006/main">
  <authors>
    <author>systemuser</author>
  </authors>
  <commentList>
    <comment ref="E38" authorId="0" shapeId="0">
      <text>
        <r>
          <rPr>
            <sz val="9"/>
            <color indexed="81"/>
            <rFont val="ＭＳ Ｐゴシック"/>
            <family val="3"/>
            <charset val="128"/>
          </rPr>
          <t xml:space="preserve">内製・外注で費用イコールになる数量を求める。
数量＝xとおき、
2,140x＋1,120,000＝2,300xの方程式を解く。
</t>
        </r>
        <r>
          <rPr>
            <b/>
            <sz val="9"/>
            <color indexed="81"/>
            <rFont val="ＭＳ Ｐゴシック"/>
            <family val="3"/>
            <charset val="128"/>
          </rPr>
          <t xml:space="preserve">
</t>
        </r>
      </text>
    </comment>
  </commentList>
</comments>
</file>

<file path=xl/comments4.xml><?xml version="1.0" encoding="utf-8"?>
<comments xmlns="http://schemas.openxmlformats.org/spreadsheetml/2006/main">
  <authors>
    <author>systemuser</author>
  </authors>
  <commentList>
    <comment ref="D24" authorId="0" shapeId="0">
      <text>
        <r>
          <rPr>
            <sz val="9"/>
            <color indexed="81"/>
            <rFont val="ＭＳ Ｐゴシック"/>
            <family val="3"/>
            <charset val="128"/>
          </rPr>
          <t xml:space="preserve">計算条件を見せるため関数式にしているが、煩雑な式を見る意味はない。
実際は連立方程式で。
</t>
        </r>
      </text>
    </comment>
  </commentList>
</comments>
</file>

<file path=xl/comments5.xml><?xml version="1.0" encoding="utf-8"?>
<comments xmlns="http://schemas.openxmlformats.org/spreadsheetml/2006/main">
  <authors>
    <author>systemuser</author>
  </authors>
  <commentList>
    <comment ref="B59" authorId="0" shapeId="0">
      <text>
        <r>
          <rPr>
            <sz val="9"/>
            <color indexed="81"/>
            <rFont val="ＭＳ Ｐゴシック"/>
            <family val="3"/>
            <charset val="128"/>
          </rPr>
          <t>問2で求めた製造間接費等計から逆算</t>
        </r>
      </text>
    </comment>
  </commentList>
</comments>
</file>

<file path=xl/sharedStrings.xml><?xml version="1.0" encoding="utf-8"?>
<sst xmlns="http://schemas.openxmlformats.org/spreadsheetml/2006/main" count="1632" uniqueCount="957">
  <si>
    <t>解き方</t>
    <rPh sb="0" eb="1">
      <t>ト</t>
    </rPh>
    <rPh sb="2" eb="3">
      <t>カタ</t>
    </rPh>
    <phoneticPr fontId="3"/>
  </si>
  <si>
    <t>現価係数</t>
    <rPh sb="0" eb="2">
      <t>ゲンカ</t>
    </rPh>
    <rPh sb="2" eb="4">
      <t>ケイスウ</t>
    </rPh>
    <phoneticPr fontId="3"/>
  </si>
  <si>
    <t>問題⑧</t>
    <rPh sb="0" eb="2">
      <t>モンダイ</t>
    </rPh>
    <phoneticPr fontId="3"/>
  </si>
  <si>
    <t>投資案A</t>
    <rPh sb="0" eb="2">
      <t>トウシ</t>
    </rPh>
    <rPh sb="2" eb="3">
      <t>アン</t>
    </rPh>
    <phoneticPr fontId="3"/>
  </si>
  <si>
    <t>T0</t>
    <phoneticPr fontId="3"/>
  </si>
  <si>
    <t>T1</t>
    <phoneticPr fontId="3"/>
  </si>
  <si>
    <t>T2</t>
    <phoneticPr fontId="3"/>
  </si>
  <si>
    <t>T3</t>
    <phoneticPr fontId="3"/>
  </si>
  <si>
    <t>CIF</t>
    <phoneticPr fontId="3"/>
  </si>
  <si>
    <t>割引後CIF</t>
    <rPh sb="0" eb="2">
      <t>ワリビキ</t>
    </rPh>
    <rPh sb="2" eb="3">
      <t>ゴ</t>
    </rPh>
    <phoneticPr fontId="3"/>
  </si>
  <si>
    <t>収益性指数</t>
    <rPh sb="0" eb="3">
      <t>シュウエキセイ</t>
    </rPh>
    <rPh sb="3" eb="5">
      <t>シスウ</t>
    </rPh>
    <phoneticPr fontId="3"/>
  </si>
  <si>
    <t>内部利益率</t>
    <rPh sb="0" eb="2">
      <t>ナイブ</t>
    </rPh>
    <rPh sb="2" eb="4">
      <t>リエキ</t>
    </rPh>
    <rPh sb="4" eb="5">
      <t>リツ</t>
    </rPh>
    <phoneticPr fontId="3"/>
  </si>
  <si>
    <t>問1</t>
    <rPh sb="0" eb="1">
      <t>ト</t>
    </rPh>
    <phoneticPr fontId="3"/>
  </si>
  <si>
    <t>問2</t>
    <rPh sb="0" eb="1">
      <t>ト</t>
    </rPh>
    <phoneticPr fontId="3"/>
  </si>
  <si>
    <t>問3</t>
    <rPh sb="0" eb="1">
      <t>ト</t>
    </rPh>
    <phoneticPr fontId="3"/>
  </si>
  <si>
    <t>・設備投資意思決定の評価モデルで最も使われる、NPV法、IRR法、PI法に関する基本問題。(IRR法を除き)電卓手計算でも求まるが、エクセルを使って答えを先に知り、それから電卓手計算する方が、効果・納得度ともに高い。</t>
    <rPh sb="1" eb="3">
      <t>セツビ</t>
    </rPh>
    <rPh sb="3" eb="5">
      <t>トウシ</t>
    </rPh>
    <rPh sb="5" eb="7">
      <t>イシ</t>
    </rPh>
    <rPh sb="7" eb="9">
      <t>ケッテイ</t>
    </rPh>
    <rPh sb="10" eb="12">
      <t>ヒョウカ</t>
    </rPh>
    <rPh sb="16" eb="17">
      <t>モット</t>
    </rPh>
    <rPh sb="18" eb="19">
      <t>ツカ</t>
    </rPh>
    <rPh sb="26" eb="27">
      <t>ホウ</t>
    </rPh>
    <rPh sb="31" eb="32">
      <t>ホウ</t>
    </rPh>
    <rPh sb="35" eb="36">
      <t>ホウ</t>
    </rPh>
    <rPh sb="37" eb="38">
      <t>カン</t>
    </rPh>
    <rPh sb="40" eb="42">
      <t>キホン</t>
    </rPh>
    <rPh sb="42" eb="44">
      <t>モンダイ</t>
    </rPh>
    <rPh sb="49" eb="50">
      <t>ホウ</t>
    </rPh>
    <rPh sb="51" eb="52">
      <t>ノゾ</t>
    </rPh>
    <rPh sb="54" eb="56">
      <t>デンタク</t>
    </rPh>
    <rPh sb="56" eb="57">
      <t>テ</t>
    </rPh>
    <rPh sb="57" eb="59">
      <t>ケイサン</t>
    </rPh>
    <rPh sb="61" eb="62">
      <t>モト</t>
    </rPh>
    <rPh sb="71" eb="72">
      <t>ツカ</t>
    </rPh>
    <rPh sb="74" eb="75">
      <t>コタ</t>
    </rPh>
    <rPh sb="77" eb="78">
      <t>サキ</t>
    </rPh>
    <rPh sb="79" eb="80">
      <t>シ</t>
    </rPh>
    <rPh sb="86" eb="88">
      <t>デンタク</t>
    </rPh>
    <rPh sb="88" eb="89">
      <t>テ</t>
    </rPh>
    <rPh sb="89" eb="91">
      <t>ケイサン</t>
    </rPh>
    <rPh sb="93" eb="94">
      <t>ホウ</t>
    </rPh>
    <rPh sb="96" eb="98">
      <t>コウカ</t>
    </rPh>
    <rPh sb="99" eb="101">
      <t>ナットク</t>
    </rPh>
    <rPh sb="101" eb="102">
      <t>ド</t>
    </rPh>
    <rPh sb="105" eb="106">
      <t>タカ</t>
    </rPh>
    <phoneticPr fontId="3"/>
  </si>
  <si>
    <t>・タイムテーブルの書き方にも慣れる。①CIF算定 →②割引計算 ③合計してNPV。常にこの3段階を使うことで、解き方と答えが安定する。</t>
    <rPh sb="9" eb="10">
      <t>カ</t>
    </rPh>
    <rPh sb="11" eb="12">
      <t>カタ</t>
    </rPh>
    <rPh sb="14" eb="15">
      <t>ナ</t>
    </rPh>
    <rPh sb="22" eb="24">
      <t>サンテイ</t>
    </rPh>
    <rPh sb="27" eb="29">
      <t>ワリビキ</t>
    </rPh>
    <rPh sb="29" eb="31">
      <t>ケイサン</t>
    </rPh>
    <rPh sb="33" eb="35">
      <t>ゴウケイ</t>
    </rPh>
    <rPh sb="41" eb="42">
      <t>ツネ</t>
    </rPh>
    <rPh sb="46" eb="48">
      <t>ダンカイ</t>
    </rPh>
    <rPh sb="49" eb="50">
      <t>ツカ</t>
    </rPh>
    <rPh sb="55" eb="56">
      <t>ト</t>
    </rPh>
    <rPh sb="57" eb="58">
      <t>カタ</t>
    </rPh>
    <rPh sb="59" eb="60">
      <t>コタ</t>
    </rPh>
    <rPh sb="62" eb="64">
      <t>アンテイ</t>
    </rPh>
    <phoneticPr fontId="3"/>
  </si>
  <si>
    <t>T4</t>
  </si>
  <si>
    <t>T5</t>
  </si>
  <si>
    <t>IRR補間法</t>
    <rPh sb="3" eb="5">
      <t>ホカン</t>
    </rPh>
    <rPh sb="5" eb="6">
      <t>ホウ</t>
    </rPh>
    <phoneticPr fontId="3"/>
  </si>
  <si>
    <t>←投資による正味CIF</t>
    <rPh sb="1" eb="3">
      <t>トウシ</t>
    </rPh>
    <rPh sb="6" eb="8">
      <t>ショウミ</t>
    </rPh>
    <phoneticPr fontId="3"/>
  </si>
  <si>
    <t>←売却収入</t>
    <rPh sb="1" eb="3">
      <t>バイキャク</t>
    </rPh>
    <rPh sb="3" eb="5">
      <t>シュウニュウ</t>
    </rPh>
    <phoneticPr fontId="3"/>
  </si>
  <si>
    <t>・・NPV&gt;0なので、投資するべき</t>
    <rPh sb="11" eb="13">
      <t>トウシ</t>
    </rPh>
    <phoneticPr fontId="3"/>
  </si>
  <si>
    <t>・・割引率8.93%ならNPV＝0になる。ということは8.00%ならプラスになる。そこで投資するべき。</t>
    <rPh sb="2" eb="4">
      <t>ワリビキ</t>
    </rPh>
    <rPh sb="4" eb="5">
      <t>リツ</t>
    </rPh>
    <rPh sb="44" eb="46">
      <t>トウシ</t>
    </rPh>
    <phoneticPr fontId="3"/>
  </si>
  <si>
    <t xml:space="preserve">  なお、関数を使わずIRRを求めるため、テクニカルな図を描いて試行錯誤で求めるのが｢補間法｣。</t>
    <rPh sb="5" eb="7">
      <t>カンスウ</t>
    </rPh>
    <rPh sb="8" eb="9">
      <t>ツカ</t>
    </rPh>
    <rPh sb="15" eb="16">
      <t>モト</t>
    </rPh>
    <rPh sb="27" eb="28">
      <t>ズ</t>
    </rPh>
    <rPh sb="29" eb="30">
      <t>カ</t>
    </rPh>
    <rPh sb="32" eb="34">
      <t>シコウ</t>
    </rPh>
    <rPh sb="34" eb="36">
      <t>サクゴ</t>
    </rPh>
    <rPh sb="37" eb="38">
      <t>モト</t>
    </rPh>
    <rPh sb="43" eb="45">
      <t>ホカン</t>
    </rPh>
    <rPh sb="45" eb="46">
      <t>ホウ</t>
    </rPh>
    <phoneticPr fontId="3"/>
  </si>
  <si>
    <t xml:space="preserve">  診断士試験ではこれは問われないので、エクセルを使って結論だけイメージできればOK。</t>
    <rPh sb="2" eb="5">
      <t>シンダンシ</t>
    </rPh>
    <rPh sb="5" eb="7">
      <t>シケン</t>
    </rPh>
    <rPh sb="12" eb="13">
      <t>ト</t>
    </rPh>
    <rPh sb="25" eb="26">
      <t>ツカ</t>
    </rPh>
    <rPh sb="28" eb="30">
      <t>ケツロン</t>
    </rPh>
    <phoneticPr fontId="3"/>
  </si>
  <si>
    <t>・当問は、NPVとIRRの基本を教えるため、①CIFを予め与え、②割引計算 ③合計してNPVに集中して練習できる。タイムテーブルの描き方は、1回決めれば全問題に共通して使えるので。ぜひ当問までにマスターする。</t>
    <rPh sb="1" eb="2">
      <t>トウ</t>
    </rPh>
    <rPh sb="2" eb="3">
      <t>モン</t>
    </rPh>
    <rPh sb="13" eb="15">
      <t>キホン</t>
    </rPh>
    <rPh sb="16" eb="17">
      <t>オシ</t>
    </rPh>
    <rPh sb="27" eb="28">
      <t>アラカジ</t>
    </rPh>
    <rPh sb="29" eb="30">
      <t>アタ</t>
    </rPh>
    <rPh sb="33" eb="35">
      <t>ワリビキ</t>
    </rPh>
    <rPh sb="35" eb="37">
      <t>ケイサン</t>
    </rPh>
    <rPh sb="39" eb="41">
      <t>ゴウケイ</t>
    </rPh>
    <rPh sb="47" eb="49">
      <t>シュウチュウ</t>
    </rPh>
    <rPh sb="51" eb="53">
      <t>レンシュウ</t>
    </rPh>
    <rPh sb="65" eb="66">
      <t>カ</t>
    </rPh>
    <rPh sb="67" eb="68">
      <t>カタ</t>
    </rPh>
    <rPh sb="71" eb="72">
      <t>カイ</t>
    </rPh>
    <rPh sb="72" eb="73">
      <t>キ</t>
    </rPh>
    <rPh sb="76" eb="77">
      <t>ゼン</t>
    </rPh>
    <rPh sb="77" eb="79">
      <t>モンダイ</t>
    </rPh>
    <rPh sb="80" eb="82">
      <t>キョウツウ</t>
    </rPh>
    <rPh sb="84" eb="85">
      <t>ツカ</t>
    </rPh>
    <rPh sb="92" eb="93">
      <t>トウ</t>
    </rPh>
    <rPh sb="93" eb="94">
      <t>モン</t>
    </rPh>
    <phoneticPr fontId="3"/>
  </si>
  <si>
    <t>・簿記1級では、IRRを手計算させる出題がある。診断士試験では、電卓を使えない｢1次｣でIRRの計算問題を出題できないため、｢2次｣でもIRRの計算はなく、理論問題しか出せない。そこで関数を使い結果だけ知っておく。</t>
    <rPh sb="1" eb="3">
      <t>ボキ</t>
    </rPh>
    <rPh sb="4" eb="5">
      <t>キュウ</t>
    </rPh>
    <rPh sb="12" eb="13">
      <t>テ</t>
    </rPh>
    <rPh sb="13" eb="15">
      <t>ケイサン</t>
    </rPh>
    <rPh sb="18" eb="20">
      <t>シュツダイ</t>
    </rPh>
    <rPh sb="24" eb="27">
      <t>シンダンシ</t>
    </rPh>
    <rPh sb="27" eb="29">
      <t>シケン</t>
    </rPh>
    <rPh sb="32" eb="34">
      <t>デンタク</t>
    </rPh>
    <rPh sb="35" eb="36">
      <t>ツカ</t>
    </rPh>
    <rPh sb="39" eb="43">
      <t>１ジ</t>
    </rPh>
    <rPh sb="48" eb="50">
      <t>ケイサン</t>
    </rPh>
    <rPh sb="50" eb="52">
      <t>モンダイ</t>
    </rPh>
    <rPh sb="53" eb="55">
      <t>シュツダイ</t>
    </rPh>
    <rPh sb="62" eb="66">
      <t>２ジ</t>
    </rPh>
    <rPh sb="72" eb="74">
      <t>ケイサン</t>
    </rPh>
    <rPh sb="78" eb="80">
      <t>リロン</t>
    </rPh>
    <rPh sb="80" eb="82">
      <t>モンダイ</t>
    </rPh>
    <rPh sb="84" eb="85">
      <t>ダ</t>
    </rPh>
    <rPh sb="92" eb="94">
      <t>カンスウ</t>
    </rPh>
    <rPh sb="95" eb="96">
      <t>ツカ</t>
    </rPh>
    <rPh sb="97" eb="99">
      <t>ケッカ</t>
    </rPh>
    <rPh sb="101" eb="102">
      <t>シ</t>
    </rPh>
    <phoneticPr fontId="3"/>
  </si>
  <si>
    <t>減価償却費の計算</t>
    <rPh sb="0" eb="2">
      <t>ゲンカ</t>
    </rPh>
    <rPh sb="2" eb="4">
      <t>ショウキャク</t>
    </rPh>
    <rPh sb="4" eb="5">
      <t>ヒ</t>
    </rPh>
    <rPh sb="6" eb="8">
      <t>ケイサン</t>
    </rPh>
    <phoneticPr fontId="3"/>
  </si>
  <si>
    <t>取得原価</t>
    <rPh sb="0" eb="2">
      <t>シュトク</t>
    </rPh>
    <rPh sb="2" eb="4">
      <t>ゲンカ</t>
    </rPh>
    <phoneticPr fontId="3"/>
  </si>
  <si>
    <t>残存価額</t>
    <rPh sb="0" eb="2">
      <t>ザンゾン</t>
    </rPh>
    <rPh sb="2" eb="4">
      <t>カガク</t>
    </rPh>
    <phoneticPr fontId="3"/>
  </si>
  <si>
    <t>償却年数</t>
    <rPh sb="0" eb="2">
      <t>ショウキャク</t>
    </rPh>
    <rPh sb="2" eb="4">
      <t>ネンスウ</t>
    </rPh>
    <phoneticPr fontId="3"/>
  </si>
  <si>
    <t>減価償却費/年</t>
    <rPh sb="0" eb="2">
      <t>ゲンカ</t>
    </rPh>
    <rPh sb="2" eb="4">
      <t>ショウキャク</t>
    </rPh>
    <rPh sb="4" eb="5">
      <t>ヒ</t>
    </rPh>
    <rPh sb="6" eb="7">
      <t>ネン</t>
    </rPh>
    <phoneticPr fontId="3"/>
  </si>
  <si>
    <r>
      <rPr>
        <b/>
        <sz val="10"/>
        <color theme="1"/>
        <rFont val="游ゴシック"/>
        <family val="3"/>
        <charset val="128"/>
        <scheme val="minor"/>
      </rPr>
      <t>税引後CIFBOX</t>
    </r>
    <r>
      <rPr>
        <sz val="10"/>
        <color theme="1"/>
        <rFont val="游ゴシック"/>
        <family val="3"/>
        <charset val="128"/>
        <scheme val="minor"/>
      </rPr>
      <t xml:space="preserve"> ←ここの描き方パターンを覚えることがポイント</t>
    </r>
    <rPh sb="0" eb="2">
      <t>ゼイビキ</t>
    </rPh>
    <rPh sb="2" eb="3">
      <t>ゴ</t>
    </rPh>
    <rPh sb="14" eb="15">
      <t>カ</t>
    </rPh>
    <rPh sb="16" eb="17">
      <t>カタ</t>
    </rPh>
    <rPh sb="22" eb="23">
      <t>オボ</t>
    </rPh>
    <phoneticPr fontId="3"/>
  </si>
  <si>
    <t>COF</t>
    <phoneticPr fontId="3"/>
  </si>
  <si>
    <t>その他支出</t>
    <rPh sb="2" eb="3">
      <t>タ</t>
    </rPh>
    <rPh sb="3" eb="5">
      <t>シシュツ</t>
    </rPh>
    <phoneticPr fontId="3"/>
  </si>
  <si>
    <t>人件費節約額</t>
    <rPh sb="0" eb="3">
      <t>ジンケンヒ</t>
    </rPh>
    <rPh sb="3" eb="5">
      <t>セツヤク</t>
    </rPh>
    <rPh sb="5" eb="6">
      <t>ガク</t>
    </rPh>
    <phoneticPr fontId="3"/>
  </si>
  <si>
    <t>減価償却費</t>
    <rPh sb="0" eb="2">
      <t>ゲンカ</t>
    </rPh>
    <rPh sb="2" eb="4">
      <t>ショウキャク</t>
    </rPh>
    <rPh sb="4" eb="5">
      <t>ヒ</t>
    </rPh>
    <phoneticPr fontId="3"/>
  </si>
  <si>
    <t>利益(税なし)</t>
    <rPh sb="0" eb="2">
      <t>リエキ</t>
    </rPh>
    <rPh sb="3" eb="4">
      <t>ゼイ</t>
    </rPh>
    <phoneticPr fontId="3"/>
  </si>
  <si>
    <t>NPV=0になるように、いつもと逆の順で求めていく</t>
    <rPh sb="16" eb="17">
      <t>ギャク</t>
    </rPh>
    <rPh sb="18" eb="19">
      <t>ジュン</t>
    </rPh>
    <rPh sb="20" eb="21">
      <t>モト</t>
    </rPh>
    <phoneticPr fontId="3"/>
  </si>
  <si>
    <t>NPV・・①</t>
    <phoneticPr fontId="3"/>
  </si>
  <si>
    <t>→</t>
    <phoneticPr fontId="3"/>
  </si>
  <si>
    <t>←税引後CIF</t>
    <rPh sb="1" eb="3">
      <t>ゼイビ</t>
    </rPh>
    <rPh sb="3" eb="4">
      <t>ゴ</t>
    </rPh>
    <phoneticPr fontId="3"/>
  </si>
  <si>
    <t>・当問は、②割引計算に加え、①BOXを使い税引後CIFを求める、③合計してNPVを求めるのでなく、NPV＝0になるようにCIFを求める、の2点が加わる。</t>
    <rPh sb="1" eb="2">
      <t>トウ</t>
    </rPh>
    <rPh sb="2" eb="3">
      <t>モン</t>
    </rPh>
    <rPh sb="6" eb="8">
      <t>ワリビキ</t>
    </rPh>
    <rPh sb="8" eb="10">
      <t>ケイサン</t>
    </rPh>
    <rPh sb="11" eb="12">
      <t>クワ</t>
    </rPh>
    <rPh sb="33" eb="35">
      <t>ゴウケイ</t>
    </rPh>
    <rPh sb="41" eb="42">
      <t>モト</t>
    </rPh>
    <rPh sb="64" eb="65">
      <t>モト</t>
    </rPh>
    <rPh sb="70" eb="71">
      <t>テン</t>
    </rPh>
    <rPh sb="72" eb="73">
      <t>クワ</t>
    </rPh>
    <phoneticPr fontId="3"/>
  </si>
  <si>
    <t>・税引後CIFBOXの作り方はテキストP.77 にあるが、これだけでは十分でない。とりあえず他の問題も一通り解き、その後解き直して正解できることが目標。</t>
    <rPh sb="1" eb="3">
      <t>ゼイビキ</t>
    </rPh>
    <rPh sb="3" eb="4">
      <t>ゴ</t>
    </rPh>
    <rPh sb="11" eb="12">
      <t>ツク</t>
    </rPh>
    <rPh sb="13" eb="14">
      <t>カタ</t>
    </rPh>
    <rPh sb="35" eb="37">
      <t>ジュウブン</t>
    </rPh>
    <rPh sb="46" eb="47">
      <t>タ</t>
    </rPh>
    <rPh sb="48" eb="50">
      <t>モンダイ</t>
    </rPh>
    <rPh sb="51" eb="53">
      <t>ヒトトオ</t>
    </rPh>
    <rPh sb="54" eb="55">
      <t>ト</t>
    </rPh>
    <rPh sb="59" eb="60">
      <t>アト</t>
    </rPh>
    <rPh sb="60" eb="61">
      <t>ト</t>
    </rPh>
    <rPh sb="62" eb="63">
      <t>ナオ</t>
    </rPh>
    <rPh sb="65" eb="67">
      <t>セイカイ</t>
    </rPh>
    <rPh sb="73" eb="75">
      <t>モクヒョウ</t>
    </rPh>
    <phoneticPr fontId="3"/>
  </si>
  <si>
    <t>単純回収期間法</t>
    <rPh sb="0" eb="2">
      <t>タンジュン</t>
    </rPh>
    <rPh sb="2" eb="4">
      <t>カイシュウ</t>
    </rPh>
    <rPh sb="4" eb="6">
      <t>キカン</t>
    </rPh>
    <rPh sb="6" eb="7">
      <t>ホウ</t>
    </rPh>
    <phoneticPr fontId="3"/>
  </si>
  <si>
    <t>年</t>
    <rPh sb="0" eb="1">
      <t>ネン</t>
    </rPh>
    <phoneticPr fontId="3"/>
  </si>
  <si>
    <t>・単純回収期間法は、テキストP.73 参照</t>
    <rPh sb="1" eb="3">
      <t>タンジュン</t>
    </rPh>
    <rPh sb="3" eb="5">
      <t>カイシュウ</t>
    </rPh>
    <rPh sb="5" eb="7">
      <t>キカン</t>
    </rPh>
    <rPh sb="7" eb="8">
      <t>ホウ</t>
    </rPh>
    <rPh sb="19" eb="21">
      <t>サンショウ</t>
    </rPh>
    <phoneticPr fontId="3"/>
  </si>
  <si>
    <t>単純投下資本利益率法</t>
    <rPh sb="0" eb="2">
      <t>タンジュン</t>
    </rPh>
    <rPh sb="2" eb="4">
      <t>トウカ</t>
    </rPh>
    <rPh sb="4" eb="6">
      <t>シホン</t>
    </rPh>
    <rPh sb="6" eb="8">
      <t>リエキ</t>
    </rPh>
    <rPh sb="8" eb="9">
      <t>リツ</t>
    </rPh>
    <rPh sb="9" eb="10">
      <t>ホウ</t>
    </rPh>
    <phoneticPr fontId="3"/>
  </si>
  <si>
    <t>・単純投下資本利益率法は、テキストP.74 。当試験で問われた覚えがないので、｢1次｣過去問5年以内に出題がないことを確認したら、覚えなくて良い。</t>
    <rPh sb="1" eb="3">
      <t>タンジュン</t>
    </rPh>
    <rPh sb="3" eb="5">
      <t>トウカ</t>
    </rPh>
    <rPh sb="5" eb="7">
      <t>シホン</t>
    </rPh>
    <rPh sb="7" eb="9">
      <t>リエキ</t>
    </rPh>
    <rPh sb="9" eb="10">
      <t>リツ</t>
    </rPh>
    <rPh sb="10" eb="11">
      <t>ホウ</t>
    </rPh>
    <rPh sb="23" eb="24">
      <t>トウ</t>
    </rPh>
    <rPh sb="24" eb="26">
      <t>シケン</t>
    </rPh>
    <rPh sb="27" eb="28">
      <t>ト</t>
    </rPh>
    <rPh sb="31" eb="32">
      <t>オボ</t>
    </rPh>
    <rPh sb="39" eb="43">
      <t>１ジ</t>
    </rPh>
    <rPh sb="43" eb="46">
      <t>カコモン</t>
    </rPh>
    <rPh sb="47" eb="48">
      <t>ネン</t>
    </rPh>
    <rPh sb="48" eb="50">
      <t>イナイ</t>
    </rPh>
    <rPh sb="51" eb="53">
      <t>シュツダイ</t>
    </rPh>
    <rPh sb="59" eb="61">
      <t>カクニン</t>
    </rPh>
    <rPh sb="65" eb="66">
      <t>オボ</t>
    </rPh>
    <rPh sb="70" eb="71">
      <t>ヨ</t>
    </rPh>
    <phoneticPr fontId="3"/>
  </si>
  <si>
    <t>現金支出</t>
    <rPh sb="0" eb="2">
      <t>ゲンキン</t>
    </rPh>
    <rPh sb="2" eb="4">
      <t>シシュツ</t>
    </rPh>
    <phoneticPr fontId="3"/>
  </si>
  <si>
    <t>建物</t>
    <rPh sb="0" eb="2">
      <t>タテモノ</t>
    </rPh>
    <phoneticPr fontId="3"/>
  </si>
  <si>
    <t>設備</t>
    <rPh sb="0" eb="2">
      <t>セツビ</t>
    </rPh>
    <phoneticPr fontId="3"/>
  </si>
  <si>
    <t>税引前利益</t>
    <rPh sb="0" eb="2">
      <t>ゼイビキ</t>
    </rPh>
    <rPh sb="2" eb="3">
      <t>マエ</t>
    </rPh>
    <rPh sb="3" eb="5">
      <t>リエキ</t>
    </rPh>
    <phoneticPr fontId="3"/>
  </si>
  <si>
    <t>うち税金</t>
    <rPh sb="2" eb="4">
      <t>ゼイキン</t>
    </rPh>
    <phoneticPr fontId="3"/>
  </si>
  <si>
    <t>税引後利益</t>
    <rPh sb="0" eb="2">
      <t>ゼイビキ</t>
    </rPh>
    <rPh sb="2" eb="3">
      <t>ゴ</t>
    </rPh>
    <rPh sb="3" eb="5">
      <t>リエキ</t>
    </rPh>
    <phoneticPr fontId="3"/>
  </si>
  <si>
    <t>税引後CIF</t>
    <rPh sb="0" eb="2">
      <t>ゼイビキ</t>
    </rPh>
    <rPh sb="2" eb="3">
      <t>ゴ</t>
    </rPh>
    <phoneticPr fontId="3"/>
  </si>
  <si>
    <t>運転資本の増加</t>
    <rPh sb="0" eb="2">
      <t>ウンテン</t>
    </rPh>
    <rPh sb="2" eb="4">
      <t>シホン</t>
    </rPh>
    <rPh sb="5" eb="7">
      <t>ゾウカ</t>
    </rPh>
    <phoneticPr fontId="3"/>
  </si>
  <si>
    <t>Y0で発生し、Y5で回収する</t>
    <rPh sb="3" eb="5">
      <t>ハッセイ</t>
    </rPh>
    <rPh sb="10" eb="12">
      <t>カイシュウ</t>
    </rPh>
    <phoneticPr fontId="3"/>
  </si>
  <si>
    <t>Y0</t>
  </si>
  <si>
    <t>Y1</t>
  </si>
  <si>
    <t>Y2</t>
  </si>
  <si>
    <t>Y3</t>
  </si>
  <si>
    <t>Y4</t>
  </si>
  <si>
    <t>Y5</t>
  </si>
  <si>
    <t>売掛金</t>
    <rPh sb="0" eb="2">
      <t>ウリカケ</t>
    </rPh>
    <rPh sb="2" eb="3">
      <t>キン</t>
    </rPh>
    <phoneticPr fontId="3"/>
  </si>
  <si>
    <t>棚卸資産</t>
    <rPh sb="0" eb="2">
      <t>タナオロシ</t>
    </rPh>
    <rPh sb="2" eb="4">
      <t>シサン</t>
    </rPh>
    <phoneticPr fontId="3"/>
  </si>
  <si>
    <t>買掛金</t>
    <rPh sb="0" eb="3">
      <t>カイカケキン</t>
    </rPh>
    <phoneticPr fontId="3"/>
  </si>
  <si>
    <t>投資終了時の売却収入・売却益・課税の影響</t>
    <rPh sb="0" eb="2">
      <t>トウシ</t>
    </rPh>
    <rPh sb="2" eb="5">
      <t>シュウリョウジ</t>
    </rPh>
    <rPh sb="6" eb="8">
      <t>バイキャク</t>
    </rPh>
    <rPh sb="8" eb="10">
      <t>シュウニュウ</t>
    </rPh>
    <rPh sb="11" eb="13">
      <t>バイキャク</t>
    </rPh>
    <rPh sb="13" eb="14">
      <t>エキ</t>
    </rPh>
    <rPh sb="15" eb="17">
      <t>カゼイ</t>
    </rPh>
    <rPh sb="18" eb="20">
      <t>エイキョウ</t>
    </rPh>
    <phoneticPr fontId="3"/>
  </si>
  <si>
    <t>土地</t>
    <rPh sb="0" eb="2">
      <t>トチ</t>
    </rPh>
    <phoneticPr fontId="3"/>
  </si>
  <si>
    <t>売却時簿価</t>
    <rPh sb="0" eb="2">
      <t>バイキャク</t>
    </rPh>
    <rPh sb="2" eb="3">
      <t>ジ</t>
    </rPh>
    <rPh sb="3" eb="5">
      <t>ボカ</t>
    </rPh>
    <phoneticPr fontId="3"/>
  </si>
  <si>
    <t>売却収入</t>
    <rPh sb="0" eb="2">
      <t>バイキャク</t>
    </rPh>
    <rPh sb="2" eb="4">
      <t>シュウニュウ</t>
    </rPh>
    <phoneticPr fontId="3"/>
  </si>
  <si>
    <t>売却損益</t>
    <rPh sb="0" eb="2">
      <t>バイキャク</t>
    </rPh>
    <rPh sb="2" eb="4">
      <t>ソンエキ</t>
    </rPh>
    <phoneticPr fontId="3"/>
  </si>
  <si>
    <t>タックスシールド</t>
    <phoneticPr fontId="3"/>
  </si>
  <si>
    <t>←ここも期末キャッシュインへ</t>
    <rPh sb="4" eb="6">
      <t>キマツ</t>
    </rPh>
    <phoneticPr fontId="3"/>
  </si>
  <si>
    <t>←ここが期末キャッシュインへ</t>
    <rPh sb="4" eb="6">
      <t>キマツ</t>
    </rPh>
    <phoneticPr fontId="3"/>
  </si>
  <si>
    <t>運転資本の増減は、キャッシュの出入りを伴うため、FCFに含めて時間価値の計算の考慮に入れる。</t>
    <rPh sb="0" eb="2">
      <t>ウンテン</t>
    </rPh>
    <rPh sb="2" eb="4">
      <t>シホン</t>
    </rPh>
    <rPh sb="5" eb="7">
      <t>ゾウゲン</t>
    </rPh>
    <rPh sb="15" eb="17">
      <t>デハイ</t>
    </rPh>
    <rPh sb="19" eb="20">
      <t>トモナ</t>
    </rPh>
    <rPh sb="28" eb="29">
      <t>フク</t>
    </rPh>
    <rPh sb="31" eb="33">
      <t>ジカン</t>
    </rPh>
    <rPh sb="33" eb="35">
      <t>カチ</t>
    </rPh>
    <rPh sb="36" eb="38">
      <t>ケイサン</t>
    </rPh>
    <rPh sb="39" eb="41">
      <t>コウリョ</t>
    </rPh>
    <rPh sb="42" eb="43">
      <t>イ</t>
    </rPh>
    <phoneticPr fontId="3"/>
  </si>
  <si>
    <t>これはFCF、NPV計算に当然必要な前提であり、これを見て｢｣CF計算書の問題とごっちゃにしてあわあわしないこと。</t>
    <rPh sb="10" eb="12">
      <t>ケイサン</t>
    </rPh>
    <rPh sb="13" eb="15">
      <t>トウゼン</t>
    </rPh>
    <rPh sb="15" eb="17">
      <t>ヒツヨウ</t>
    </rPh>
    <rPh sb="18" eb="20">
      <t>ゼンテイ</t>
    </rPh>
    <rPh sb="27" eb="28">
      <t>ミ</t>
    </rPh>
    <rPh sb="33" eb="36">
      <t>ケイサンショ</t>
    </rPh>
    <rPh sb="37" eb="39">
      <t>モンダイ</t>
    </rPh>
    <phoneticPr fontId="3"/>
  </si>
  <si>
    <t>①毎年のCIF</t>
    <rPh sb="1" eb="3">
      <t>マイトシ</t>
    </rPh>
    <phoneticPr fontId="3"/>
  </si>
  <si>
    <t>NPV</t>
    <phoneticPr fontId="3"/>
  </si>
  <si>
    <t>定額法</t>
    <rPh sb="0" eb="2">
      <t>テイガク</t>
    </rPh>
    <rPh sb="2" eb="3">
      <t>ホウ</t>
    </rPh>
    <phoneticPr fontId="3"/>
  </si>
  <si>
    <t>定率法</t>
    <rPh sb="0" eb="3">
      <t>テイリツホウ</t>
    </rPh>
    <phoneticPr fontId="3"/>
  </si>
  <si>
    <t>↓定率法で減価償却すると、</t>
    <rPh sb="1" eb="4">
      <t>テイリツホウ</t>
    </rPh>
    <rPh sb="5" eb="7">
      <t>ゲンカ</t>
    </rPh>
    <rPh sb="7" eb="9">
      <t>ショウキャク</t>
    </rPh>
    <phoneticPr fontId="3"/>
  </si>
  <si>
    <t>売上収入</t>
    <rPh sb="0" eb="2">
      <t>ウリアゲ</t>
    </rPh>
    <rPh sb="2" eb="4">
      <t>シュウニュウ</t>
    </rPh>
    <phoneticPr fontId="3"/>
  </si>
  <si>
    <t>旧タイプ：減価償却費を毎期一定とし、BOXに入れる形</t>
    <rPh sb="0" eb="1">
      <t>キュウ</t>
    </rPh>
    <rPh sb="5" eb="7">
      <t>ゲンカ</t>
    </rPh>
    <rPh sb="7" eb="9">
      <t>ショウキャク</t>
    </rPh>
    <rPh sb="9" eb="10">
      <t>ヒ</t>
    </rPh>
    <rPh sb="11" eb="13">
      <t>マイキ</t>
    </rPh>
    <rPh sb="13" eb="15">
      <t>イッテイ</t>
    </rPh>
    <rPh sb="22" eb="23">
      <t>イ</t>
    </rPh>
    <rPh sb="25" eb="26">
      <t>カタチ</t>
    </rPh>
    <phoneticPr fontId="3"/>
  </si>
  <si>
    <t>新タイプ：減価償却費が定率法で変動するため、外出しするタイプ</t>
    <rPh sb="0" eb="1">
      <t>シン</t>
    </rPh>
    <rPh sb="5" eb="7">
      <t>ゲンカ</t>
    </rPh>
    <rPh sb="7" eb="9">
      <t>ショウキャク</t>
    </rPh>
    <rPh sb="9" eb="10">
      <t>ヒ</t>
    </rPh>
    <rPh sb="11" eb="14">
      <t>テイリツホウ</t>
    </rPh>
    <rPh sb="15" eb="17">
      <t>ヘンドウ</t>
    </rPh>
    <rPh sb="22" eb="23">
      <t>ソト</t>
    </rPh>
    <rPh sb="23" eb="24">
      <t>ダ</t>
    </rPh>
    <phoneticPr fontId="3"/>
  </si>
  <si>
    <t>税引後純CIF</t>
    <rPh sb="0" eb="2">
      <t>ゼイビキ</t>
    </rPh>
    <rPh sb="2" eb="3">
      <t>ゴ</t>
    </rPh>
    <rPh sb="3" eb="4">
      <t>ジュン</t>
    </rPh>
    <phoneticPr fontId="3"/>
  </si>
  <si>
    <t>減価償却費のTS</t>
    <rPh sb="0" eb="2">
      <t>ゲンカ</t>
    </rPh>
    <rPh sb="2" eb="4">
      <t>ショウキャク</t>
    </rPh>
    <rPh sb="4" eb="5">
      <t>ヒ</t>
    </rPh>
    <phoneticPr fontId="3"/>
  </si>
  <si>
    <t>純CIF課税額</t>
    <rPh sb="0" eb="1">
      <t>ジュン</t>
    </rPh>
    <rPh sb="4" eb="7">
      <t>カゼイガク</t>
    </rPh>
    <phoneticPr fontId="3"/>
  </si>
  <si>
    <t>-X</t>
    <phoneticPr fontId="3"/>
  </si>
  <si>
    <t>X←外出しで変動。</t>
    <rPh sb="2" eb="3">
      <t>ソト</t>
    </rPh>
    <rPh sb="3" eb="4">
      <t>ダ</t>
    </rPh>
    <rPh sb="6" eb="8">
      <t>ヘンドウ</t>
    </rPh>
    <phoneticPr fontId="3"/>
  </si>
  <si>
    <t>定率法で別途TSのみ計算</t>
    <rPh sb="0" eb="3">
      <t>テイリツホウ</t>
    </rPh>
    <rPh sb="4" eb="6">
      <t>ベット</t>
    </rPh>
    <rPh sb="10" eb="12">
      <t>ケイサン</t>
    </rPh>
    <phoneticPr fontId="3"/>
  </si>
  <si>
    <t>②減価償却費TS・建物</t>
    <rPh sb="1" eb="3">
      <t>ゲンカ</t>
    </rPh>
    <rPh sb="3" eb="5">
      <t>ショウキャク</t>
    </rPh>
    <rPh sb="5" eb="6">
      <t>ヒ</t>
    </rPh>
    <rPh sb="9" eb="11">
      <t>タテモノ</t>
    </rPh>
    <phoneticPr fontId="3"/>
  </si>
  <si>
    <t>③運転資本の増減</t>
    <rPh sb="1" eb="3">
      <t>ウンテン</t>
    </rPh>
    <rPh sb="3" eb="5">
      <t>シホン</t>
    </rPh>
    <rPh sb="6" eb="8">
      <t>ゾウゲン</t>
    </rPh>
    <phoneticPr fontId="3"/>
  </si>
  <si>
    <t>④期末資産の売却収入</t>
    <rPh sb="1" eb="3">
      <t>キマツ</t>
    </rPh>
    <rPh sb="3" eb="5">
      <t>シサン</t>
    </rPh>
    <rPh sb="6" eb="8">
      <t>バイキャク</t>
    </rPh>
    <rPh sb="8" eb="10">
      <t>シュウニュウ</t>
    </rPh>
    <phoneticPr fontId="3"/>
  </si>
  <si>
    <t>②’減価償却費TS・設備</t>
    <rPh sb="2" eb="4">
      <t>ゲンカ</t>
    </rPh>
    <rPh sb="4" eb="6">
      <t>ショウキャク</t>
    </rPh>
    <rPh sb="6" eb="7">
      <t>ヒ</t>
    </rPh>
    <rPh sb="10" eb="12">
      <t>セツビ</t>
    </rPh>
    <phoneticPr fontId="3"/>
  </si>
  <si>
    <t>定率法償却率</t>
    <rPh sb="0" eb="3">
      <t>テイリツホウ</t>
    </rPh>
    <rPh sb="3" eb="6">
      <t>ショウキャクリツ</t>
    </rPh>
    <phoneticPr fontId="3"/>
  </si>
  <si>
    <t>参考：設備の定率法減価償却計算用・減価償却後の期末簿価</t>
    <rPh sb="0" eb="2">
      <t>サンコウ</t>
    </rPh>
    <rPh sb="3" eb="5">
      <t>セツビ</t>
    </rPh>
    <rPh sb="6" eb="9">
      <t>テイリツホウ</t>
    </rPh>
    <rPh sb="9" eb="11">
      <t>ゲンカ</t>
    </rPh>
    <rPh sb="11" eb="13">
      <t>ショウキャク</t>
    </rPh>
    <rPh sb="13" eb="15">
      <t>ケイサン</t>
    </rPh>
    <rPh sb="15" eb="16">
      <t>ヨウ</t>
    </rPh>
    <rPh sb="17" eb="19">
      <t>ゲンカ</t>
    </rPh>
    <rPh sb="19" eb="21">
      <t>ショウキャク</t>
    </rPh>
    <rPh sb="21" eb="22">
      <t>ゴ</t>
    </rPh>
    <rPh sb="23" eb="25">
      <t>キマツ</t>
    </rPh>
    <rPh sb="25" eb="27">
      <t>ボカ</t>
    </rPh>
    <phoneticPr fontId="3"/>
  </si>
  <si>
    <t>①～④計</t>
    <rPh sb="3" eb="4">
      <t>ケイ</t>
    </rPh>
    <phoneticPr fontId="3"/>
  </si>
  <si>
    <t>IRR</t>
    <phoneticPr fontId="3"/>
  </si>
  <si>
    <t>・当問は、NPV計算において、簿記1級らしく特に減価償却費、売却収入、運転資本増減などの組み合わせ論点に力を置いた問題。定率法を採用すると減価償却費が毎期変動するため、税引後CIFの作り方が昔と変わるので注意。</t>
    <rPh sb="1" eb="2">
      <t>トウ</t>
    </rPh>
    <rPh sb="2" eb="3">
      <t>モン</t>
    </rPh>
    <rPh sb="8" eb="10">
      <t>ケイサン</t>
    </rPh>
    <rPh sb="15" eb="17">
      <t>ボキ</t>
    </rPh>
    <rPh sb="18" eb="19">
      <t>キュウ</t>
    </rPh>
    <rPh sb="22" eb="23">
      <t>トク</t>
    </rPh>
    <rPh sb="24" eb="26">
      <t>ゲンカ</t>
    </rPh>
    <rPh sb="26" eb="28">
      <t>ショウキャク</t>
    </rPh>
    <rPh sb="28" eb="29">
      <t>ヒ</t>
    </rPh>
    <rPh sb="30" eb="32">
      <t>バイキャク</t>
    </rPh>
    <rPh sb="32" eb="34">
      <t>シュウニュウ</t>
    </rPh>
    <rPh sb="35" eb="37">
      <t>ウンテン</t>
    </rPh>
    <rPh sb="37" eb="39">
      <t>シホン</t>
    </rPh>
    <rPh sb="39" eb="41">
      <t>ゾウゲン</t>
    </rPh>
    <rPh sb="44" eb="45">
      <t>ク</t>
    </rPh>
    <rPh sb="46" eb="47">
      <t>ア</t>
    </rPh>
    <rPh sb="49" eb="51">
      <t>ロンテン</t>
    </rPh>
    <rPh sb="52" eb="53">
      <t>チカラ</t>
    </rPh>
    <rPh sb="54" eb="55">
      <t>オ</t>
    </rPh>
    <rPh sb="57" eb="59">
      <t>モンダイ</t>
    </rPh>
    <rPh sb="60" eb="62">
      <t>テイリツ</t>
    </rPh>
    <rPh sb="62" eb="63">
      <t>ホウ</t>
    </rPh>
    <rPh sb="64" eb="66">
      <t>サイヨウ</t>
    </rPh>
    <rPh sb="69" eb="71">
      <t>ゲンカ</t>
    </rPh>
    <rPh sb="71" eb="73">
      <t>ショウキャク</t>
    </rPh>
    <rPh sb="73" eb="74">
      <t>ヒ</t>
    </rPh>
    <rPh sb="75" eb="77">
      <t>マイキ</t>
    </rPh>
    <rPh sb="77" eb="79">
      <t>ヘンドウ</t>
    </rPh>
    <rPh sb="84" eb="86">
      <t>ゼイビキ</t>
    </rPh>
    <rPh sb="86" eb="87">
      <t>ゴ</t>
    </rPh>
    <rPh sb="91" eb="92">
      <t>ツク</t>
    </rPh>
    <rPh sb="93" eb="94">
      <t>カタ</t>
    </rPh>
    <rPh sb="95" eb="96">
      <t>ムカシ</t>
    </rPh>
    <rPh sb="97" eb="98">
      <t>カ</t>
    </rPh>
    <rPh sb="102" eb="104">
      <t>チュウイ</t>
    </rPh>
    <phoneticPr fontId="3"/>
  </si>
  <si>
    <t>・定率法で減価償却費が毎期変動する場合、当問解説の様に毎期のCIFを計算し、5年まとめて年金現価でなく複利減価を使い1年ずつ計算する。診断士ではそこまで問われにくいので、いちいち手計算せずエクセルで答えがあえばOK。</t>
    <rPh sb="1" eb="4">
      <t>テイリツホウ</t>
    </rPh>
    <rPh sb="5" eb="7">
      <t>ゲンカ</t>
    </rPh>
    <rPh sb="7" eb="9">
      <t>ショウキャク</t>
    </rPh>
    <rPh sb="9" eb="10">
      <t>ヒ</t>
    </rPh>
    <rPh sb="11" eb="13">
      <t>マイキ</t>
    </rPh>
    <rPh sb="13" eb="15">
      <t>ヘンドウ</t>
    </rPh>
    <rPh sb="17" eb="19">
      <t>バアイ</t>
    </rPh>
    <rPh sb="20" eb="21">
      <t>トウ</t>
    </rPh>
    <rPh sb="21" eb="22">
      <t>モン</t>
    </rPh>
    <rPh sb="22" eb="24">
      <t>カイセツ</t>
    </rPh>
    <rPh sb="25" eb="26">
      <t>ヨウ</t>
    </rPh>
    <rPh sb="27" eb="29">
      <t>マイキ</t>
    </rPh>
    <rPh sb="34" eb="36">
      <t>ケイサン</t>
    </rPh>
    <rPh sb="39" eb="40">
      <t>ネン</t>
    </rPh>
    <rPh sb="44" eb="46">
      <t>ネンキン</t>
    </rPh>
    <rPh sb="46" eb="48">
      <t>ゲンカ</t>
    </rPh>
    <rPh sb="51" eb="53">
      <t>フクリ</t>
    </rPh>
    <rPh sb="53" eb="55">
      <t>ゲンカ</t>
    </rPh>
    <rPh sb="56" eb="57">
      <t>ツカ</t>
    </rPh>
    <rPh sb="59" eb="60">
      <t>ネン</t>
    </rPh>
    <rPh sb="62" eb="64">
      <t>ケイサン</t>
    </rPh>
    <rPh sb="67" eb="70">
      <t>シンダンシ</t>
    </rPh>
    <rPh sb="76" eb="77">
      <t>ト</t>
    </rPh>
    <rPh sb="89" eb="90">
      <t>テ</t>
    </rPh>
    <rPh sb="90" eb="92">
      <t>ケイサン</t>
    </rPh>
    <rPh sb="99" eb="100">
      <t>コタ</t>
    </rPh>
    <phoneticPr fontId="3"/>
  </si>
  <si>
    <r>
      <rPr>
        <b/>
        <sz val="10"/>
        <color theme="1"/>
        <rFont val="游ゴシック"/>
        <family val="3"/>
        <charset val="128"/>
        <scheme val="minor"/>
      </rPr>
      <t>税引後CIFBOX</t>
    </r>
    <r>
      <rPr>
        <sz val="10"/>
        <color theme="1"/>
        <rFont val="游ゴシック"/>
        <family val="3"/>
        <charset val="128"/>
        <scheme val="minor"/>
      </rPr>
      <t xml:space="preserve"> ←当問も定率法なので、旧来の税引後CIFは使えないパターン</t>
    </r>
    <rPh sb="0" eb="2">
      <t>ゼイビキ</t>
    </rPh>
    <rPh sb="2" eb="3">
      <t>ゴ</t>
    </rPh>
    <rPh sb="11" eb="12">
      <t>トウ</t>
    </rPh>
    <rPh sb="12" eb="13">
      <t>モン</t>
    </rPh>
    <rPh sb="14" eb="16">
      <t>テイリツ</t>
    </rPh>
    <rPh sb="16" eb="17">
      <t>ホウ</t>
    </rPh>
    <rPh sb="21" eb="23">
      <t>キュウライ</t>
    </rPh>
    <rPh sb="24" eb="26">
      <t>ゼイビキ</t>
    </rPh>
    <rPh sb="26" eb="27">
      <t>ゴ</t>
    </rPh>
    <rPh sb="31" eb="32">
      <t>ツカ</t>
    </rPh>
    <phoneticPr fontId="3"/>
  </si>
  <si>
    <t>毎期変動</t>
    <rPh sb="0" eb="2">
      <t>マイキ</t>
    </rPh>
    <rPh sb="2" eb="4">
      <t>ヘンドウ</t>
    </rPh>
    <phoneticPr fontId="3"/>
  </si>
  <si>
    <t>差額の×0.6</t>
    <rPh sb="0" eb="2">
      <t>サガク</t>
    </rPh>
    <phoneticPr fontId="3"/>
  </si>
  <si>
    <t>差額の×0.4</t>
    <rPh sb="0" eb="2">
      <t>サガク</t>
    </rPh>
    <phoneticPr fontId="3"/>
  </si>
  <si>
    <t>WACCの計算</t>
    <rPh sb="5" eb="7">
      <t>ケイサン</t>
    </rPh>
    <phoneticPr fontId="3"/>
  </si>
  <si>
    <t>長期借入金</t>
    <rPh sb="0" eb="2">
      <t>チョウキ</t>
    </rPh>
    <rPh sb="2" eb="4">
      <t>カリイレ</t>
    </rPh>
    <rPh sb="4" eb="5">
      <t>キン</t>
    </rPh>
    <phoneticPr fontId="3"/>
  </si>
  <si>
    <t>内部留保</t>
    <rPh sb="0" eb="2">
      <t>ナイブ</t>
    </rPh>
    <rPh sb="2" eb="4">
      <t>リュウホ</t>
    </rPh>
    <phoneticPr fontId="3"/>
  </si>
  <si>
    <t>問１</t>
    <rPh sb="0" eb="1">
      <t>ト</t>
    </rPh>
    <phoneticPr fontId="3"/>
  </si>
  <si>
    <t>WACC・・資本コストの加重平均で求める。</t>
    <rPh sb="6" eb="8">
      <t>シホン</t>
    </rPh>
    <rPh sb="12" eb="14">
      <t>カジュウ</t>
    </rPh>
    <rPh sb="14" eb="16">
      <t>ヘイキン</t>
    </rPh>
    <rPh sb="17" eb="18">
      <t>モト</t>
    </rPh>
    <phoneticPr fontId="3"/>
  </si>
  <si>
    <t>計算用：売上収入の変動</t>
    <rPh sb="0" eb="3">
      <t>ケイサンヨウ</t>
    </rPh>
    <rPh sb="4" eb="6">
      <t>ウリアゲ</t>
    </rPh>
    <rPh sb="6" eb="8">
      <t>シュウニュウ</t>
    </rPh>
    <rPh sb="9" eb="11">
      <t>ヘンドウ</t>
    </rPh>
    <phoneticPr fontId="3"/>
  </si>
  <si>
    <t>①a売上収入</t>
    <rPh sb="2" eb="4">
      <t>ウリアゲ</t>
    </rPh>
    <rPh sb="4" eb="6">
      <t>シュウニュウ</t>
    </rPh>
    <phoneticPr fontId="3"/>
  </si>
  <si>
    <t>①b現金支出変動費</t>
    <rPh sb="2" eb="4">
      <t>ゲンキン</t>
    </rPh>
    <rPh sb="4" eb="6">
      <t>シシュツ</t>
    </rPh>
    <rPh sb="6" eb="8">
      <t>ヘンドウ</t>
    </rPh>
    <rPh sb="8" eb="9">
      <t>ヒ</t>
    </rPh>
    <phoneticPr fontId="3"/>
  </si>
  <si>
    <t>計算用：予想売上高による運転資本の計算</t>
    <rPh sb="0" eb="3">
      <t>ケイサンヨウ</t>
    </rPh>
    <rPh sb="4" eb="6">
      <t>ヨソウ</t>
    </rPh>
    <rPh sb="6" eb="8">
      <t>ウリアゲ</t>
    </rPh>
    <rPh sb="8" eb="9">
      <t>ダカ</t>
    </rPh>
    <rPh sb="12" eb="14">
      <t>ウンテン</t>
    </rPh>
    <rPh sb="14" eb="16">
      <t>シホン</t>
    </rPh>
    <rPh sb="17" eb="19">
      <t>ケイサン</t>
    </rPh>
    <phoneticPr fontId="3"/>
  </si>
  <si>
    <t>運転資本計</t>
    <rPh sb="0" eb="2">
      <t>ウンテン</t>
    </rPh>
    <rPh sb="2" eb="4">
      <t>シホン</t>
    </rPh>
    <rPh sb="4" eb="5">
      <t>ケイ</t>
    </rPh>
    <phoneticPr fontId="3"/>
  </si>
  <si>
    <t>期末CFに影響する変動額</t>
    <rPh sb="0" eb="2">
      <t>キマツ</t>
    </rPh>
    <rPh sb="5" eb="7">
      <t>エイキョウ</t>
    </rPh>
    <rPh sb="9" eb="11">
      <t>ヘンドウ</t>
    </rPh>
    <rPh sb="11" eb="12">
      <t>ガク</t>
    </rPh>
    <phoneticPr fontId="3"/>
  </si>
  <si>
    <t>減価償却費の累計</t>
    <rPh sb="0" eb="2">
      <t>ゲンカ</t>
    </rPh>
    <rPh sb="2" eb="4">
      <t>ショウキャク</t>
    </rPh>
    <rPh sb="4" eb="5">
      <t>ヒ</t>
    </rPh>
    <rPh sb="6" eb="8">
      <t>ルイケイ</t>
    </rPh>
    <phoneticPr fontId="3"/>
  </si>
  <si>
    <t>20X0</t>
  </si>
  <si>
    <t>20X0</t>
    <phoneticPr fontId="3"/>
  </si>
  <si>
    <t>20X1</t>
  </si>
  <si>
    <t>20X1</t>
    <phoneticPr fontId="3"/>
  </si>
  <si>
    <t>20X2</t>
  </si>
  <si>
    <t>20X2</t>
    <phoneticPr fontId="3"/>
  </si>
  <si>
    <t>20X3</t>
  </si>
  <si>
    <t>20X3</t>
    <phoneticPr fontId="3"/>
  </si>
  <si>
    <t>20X4</t>
  </si>
  <si>
    <t>20X4</t>
    <phoneticPr fontId="3"/>
  </si>
  <si>
    <t>合計</t>
    <rPh sb="0" eb="2">
      <t>ゴウケイ</t>
    </rPh>
    <phoneticPr fontId="3"/>
  </si>
  <si>
    <t>20X2年度の税引後CIF</t>
    <rPh sb="4" eb="6">
      <t>ネンド</t>
    </rPh>
    <rPh sb="7" eb="9">
      <t>ゼイビキ</t>
    </rPh>
    <rPh sb="9" eb="10">
      <t>ゴ</t>
    </rPh>
    <phoneticPr fontId="3"/>
  </si>
  <si>
    <t>①c現金支出固定費</t>
    <rPh sb="2" eb="4">
      <t>ゲンキン</t>
    </rPh>
    <rPh sb="4" eb="6">
      <t>シシュツ</t>
    </rPh>
    <rPh sb="6" eb="9">
      <t>コテイヒ</t>
    </rPh>
    <phoneticPr fontId="3"/>
  </si>
  <si>
    <t>①a～c計(税引後)</t>
    <rPh sb="4" eb="5">
      <t>ケイ</t>
    </rPh>
    <rPh sb="6" eb="8">
      <t>ゼイビキ</t>
    </rPh>
    <rPh sb="8" eb="9">
      <t>ゴ</t>
    </rPh>
    <phoneticPr fontId="3"/>
  </si>
  <si>
    <t>問4</t>
    <rPh sb="0" eb="1">
      <t>ト</t>
    </rPh>
    <phoneticPr fontId="3"/>
  </si>
  <si>
    <t>投資終了時の正味回収額</t>
    <rPh sb="0" eb="2">
      <t>トウシ</t>
    </rPh>
    <rPh sb="2" eb="5">
      <t>シュウリョウジ</t>
    </rPh>
    <rPh sb="6" eb="8">
      <t>ショウミ</t>
    </rPh>
    <rPh sb="8" eb="10">
      <t>カイシュウ</t>
    </rPh>
    <rPh sb="10" eb="11">
      <t>ガク</t>
    </rPh>
    <phoneticPr fontId="3"/>
  </si>
  <si>
    <t>問5</t>
    <rPh sb="0" eb="1">
      <t>ト</t>
    </rPh>
    <phoneticPr fontId="3"/>
  </si>
  <si>
    <t>NPVの計算</t>
    <rPh sb="4" eb="6">
      <t>ケイサン</t>
    </rPh>
    <phoneticPr fontId="3"/>
  </si>
  <si>
    <t>NPVが</t>
    <phoneticPr fontId="3"/>
  </si>
  <si>
    <t>となり、不利である。</t>
    <rPh sb="4" eb="6">
      <t>フリ</t>
    </rPh>
    <phoneticPr fontId="3"/>
  </si>
  <si>
    <t>問6</t>
    <rPh sb="0" eb="1">
      <t>ト</t>
    </rPh>
    <phoneticPr fontId="3"/>
  </si>
  <si>
    <t>IRRの計算</t>
    <rPh sb="4" eb="6">
      <t>ケイサン</t>
    </rPh>
    <phoneticPr fontId="3"/>
  </si>
  <si>
    <t>計算用：設備の定率法減価償却計算用・減価償却後の期末簿価</t>
    <rPh sb="0" eb="3">
      <t>ケイサンヨウ</t>
    </rPh>
    <rPh sb="4" eb="6">
      <t>セツビ</t>
    </rPh>
    <rPh sb="7" eb="10">
      <t>テイリツホウ</t>
    </rPh>
    <rPh sb="10" eb="12">
      <t>ゲンカ</t>
    </rPh>
    <rPh sb="12" eb="14">
      <t>ショウキャク</t>
    </rPh>
    <rPh sb="14" eb="16">
      <t>ケイサン</t>
    </rPh>
    <rPh sb="16" eb="17">
      <t>ヨウ</t>
    </rPh>
    <rPh sb="18" eb="20">
      <t>ゲンカ</t>
    </rPh>
    <rPh sb="20" eb="22">
      <t>ショウキャク</t>
    </rPh>
    <rPh sb="22" eb="23">
      <t>ゴ</t>
    </rPh>
    <rPh sb="24" eb="26">
      <t>キマツ</t>
    </rPh>
    <rPh sb="26" eb="28">
      <t>ボカ</t>
    </rPh>
    <phoneticPr fontId="3"/>
  </si>
  <si>
    <t>・当問はNPV計算の総合問題において、組み合わせて出題できる論点を教える形を取る。具体的には以下4点を計算させるが、それぞれ独特に難しく作ってある。</t>
    <rPh sb="1" eb="2">
      <t>トウ</t>
    </rPh>
    <rPh sb="2" eb="3">
      <t>モン</t>
    </rPh>
    <rPh sb="7" eb="9">
      <t>ケイサン</t>
    </rPh>
    <rPh sb="10" eb="12">
      <t>ソウゴウ</t>
    </rPh>
    <rPh sb="12" eb="14">
      <t>モンダイ</t>
    </rPh>
    <rPh sb="19" eb="20">
      <t>ク</t>
    </rPh>
    <rPh sb="21" eb="22">
      <t>ア</t>
    </rPh>
    <rPh sb="25" eb="27">
      <t>シュツダイ</t>
    </rPh>
    <rPh sb="30" eb="32">
      <t>ロンテン</t>
    </rPh>
    <rPh sb="33" eb="34">
      <t>オシ</t>
    </rPh>
    <rPh sb="36" eb="37">
      <t>カタチ</t>
    </rPh>
    <rPh sb="38" eb="39">
      <t>ト</t>
    </rPh>
    <rPh sb="41" eb="44">
      <t>グタイテキ</t>
    </rPh>
    <rPh sb="46" eb="48">
      <t>イカ</t>
    </rPh>
    <rPh sb="49" eb="50">
      <t>テン</t>
    </rPh>
    <rPh sb="51" eb="53">
      <t>ケイサン</t>
    </rPh>
    <rPh sb="62" eb="64">
      <t>ドクトク</t>
    </rPh>
    <rPh sb="65" eb="66">
      <t>ムズカ</t>
    </rPh>
    <rPh sb="68" eb="69">
      <t>ツク</t>
    </rPh>
    <phoneticPr fontId="3"/>
  </si>
  <si>
    <t>①税引後CIF(テキストP.78)  ・・売上高・販売単価が変動し、毎年のCIFが変動する。このほかにも例えば変動費率を変えるなど、いくらでも難しく作れる。</t>
    <rPh sb="1" eb="3">
      <t>ゼイビ</t>
    </rPh>
    <rPh sb="3" eb="4">
      <t>ゴ</t>
    </rPh>
    <rPh sb="21" eb="23">
      <t>ウリアゲ</t>
    </rPh>
    <rPh sb="23" eb="24">
      <t>ダカ</t>
    </rPh>
    <rPh sb="25" eb="27">
      <t>ハンバイ</t>
    </rPh>
    <rPh sb="27" eb="29">
      <t>タンカ</t>
    </rPh>
    <rPh sb="30" eb="32">
      <t>ヘンドウ</t>
    </rPh>
    <rPh sb="34" eb="36">
      <t>マイトシ</t>
    </rPh>
    <rPh sb="41" eb="43">
      <t>ヘンドウ</t>
    </rPh>
    <rPh sb="52" eb="53">
      <t>タト</t>
    </rPh>
    <rPh sb="55" eb="57">
      <t>ヘンドウ</t>
    </rPh>
    <rPh sb="57" eb="58">
      <t>ヒ</t>
    </rPh>
    <rPh sb="58" eb="59">
      <t>リツ</t>
    </rPh>
    <rPh sb="60" eb="61">
      <t>カ</t>
    </rPh>
    <rPh sb="71" eb="72">
      <t>ムズカ</t>
    </rPh>
    <rPh sb="74" eb="75">
      <t>ツク</t>
    </rPh>
    <phoneticPr fontId="3"/>
  </si>
  <si>
    <t>②減価償却費のTS(テキストP.79)・・定率法になると、計算が大変煩雑。診断士試験での出題は当面ないと考えて良い。</t>
    <rPh sb="1" eb="3">
      <t>ゲンカ</t>
    </rPh>
    <rPh sb="3" eb="5">
      <t>ショウキャク</t>
    </rPh>
    <rPh sb="5" eb="6">
      <t>ヒ</t>
    </rPh>
    <rPh sb="21" eb="23">
      <t>テイリツ</t>
    </rPh>
    <rPh sb="23" eb="24">
      <t>ホウ</t>
    </rPh>
    <rPh sb="29" eb="31">
      <t>ケイサン</t>
    </rPh>
    <rPh sb="32" eb="34">
      <t>タイヘン</t>
    </rPh>
    <rPh sb="34" eb="36">
      <t>ハンザツ</t>
    </rPh>
    <rPh sb="37" eb="40">
      <t>シンダンシ</t>
    </rPh>
    <rPh sb="40" eb="42">
      <t>シケン</t>
    </rPh>
    <rPh sb="44" eb="46">
      <t>シュツダイ</t>
    </rPh>
    <rPh sb="47" eb="49">
      <t>トウメン</t>
    </rPh>
    <rPh sb="52" eb="53">
      <t>カンガ</t>
    </rPh>
    <rPh sb="55" eb="56">
      <t>ヨ</t>
    </rPh>
    <phoneticPr fontId="3"/>
  </si>
  <si>
    <t>③正味運転資本の増減(テキストP.89)・・いわゆる｢資金繰り｣の世界では、正味運転資本が毎年変動し、CIFに影響することがある。診断士試験では｢資金繰り｣を扱わないので、ここはスルーしてOK。</t>
    <rPh sb="1" eb="3">
      <t>ショウミ</t>
    </rPh>
    <rPh sb="3" eb="5">
      <t>ウンテン</t>
    </rPh>
    <rPh sb="5" eb="7">
      <t>シホン</t>
    </rPh>
    <rPh sb="8" eb="10">
      <t>ゾウゲン</t>
    </rPh>
    <rPh sb="27" eb="29">
      <t>シキン</t>
    </rPh>
    <rPh sb="29" eb="30">
      <t>グ</t>
    </rPh>
    <rPh sb="33" eb="35">
      <t>セカイ</t>
    </rPh>
    <rPh sb="38" eb="40">
      <t>ショウミ</t>
    </rPh>
    <rPh sb="40" eb="42">
      <t>ウンテン</t>
    </rPh>
    <rPh sb="42" eb="44">
      <t>シホン</t>
    </rPh>
    <rPh sb="45" eb="47">
      <t>マイトシ</t>
    </rPh>
    <rPh sb="47" eb="49">
      <t>ヘンドウ</t>
    </rPh>
    <rPh sb="55" eb="57">
      <t>エイキョウ</t>
    </rPh>
    <rPh sb="65" eb="68">
      <t>シンダンシ</t>
    </rPh>
    <rPh sb="68" eb="70">
      <t>シケン</t>
    </rPh>
    <rPh sb="73" eb="75">
      <t>シキン</t>
    </rPh>
    <rPh sb="75" eb="76">
      <t>グ</t>
    </rPh>
    <rPh sb="79" eb="80">
      <t>アツカ</t>
    </rPh>
    <phoneticPr fontId="3"/>
  </si>
  <si>
    <t>④期末固定資産の売却収入(テキストP.94 )・・ここは｢事例Ⅳ｣でも出題範囲。売却収入と、税引後の売却損益をCIFに加える。理屈の説明は難しく、解き方を覚えても捻られて解きにくい。慣れれば点差になるので頑張って。</t>
    <rPh sb="1" eb="3">
      <t>キマツ</t>
    </rPh>
    <rPh sb="3" eb="5">
      <t>コテイ</t>
    </rPh>
    <rPh sb="5" eb="7">
      <t>シサン</t>
    </rPh>
    <rPh sb="8" eb="10">
      <t>バイキャク</t>
    </rPh>
    <rPh sb="10" eb="12">
      <t>シュウニュウ</t>
    </rPh>
    <rPh sb="29" eb="31">
      <t>ジレイ</t>
    </rPh>
    <rPh sb="35" eb="37">
      <t>シュツダイ</t>
    </rPh>
    <rPh sb="37" eb="39">
      <t>ハンイ</t>
    </rPh>
    <rPh sb="40" eb="42">
      <t>バイキャク</t>
    </rPh>
    <rPh sb="42" eb="44">
      <t>シュウニュウ</t>
    </rPh>
    <rPh sb="46" eb="48">
      <t>ゼイビキ</t>
    </rPh>
    <rPh sb="48" eb="49">
      <t>ゴ</t>
    </rPh>
    <rPh sb="50" eb="52">
      <t>バイキャク</t>
    </rPh>
    <rPh sb="52" eb="54">
      <t>ソンエキ</t>
    </rPh>
    <rPh sb="59" eb="60">
      <t>クワ</t>
    </rPh>
    <rPh sb="63" eb="65">
      <t>リクツ</t>
    </rPh>
    <rPh sb="66" eb="68">
      <t>セツメイ</t>
    </rPh>
    <rPh sb="69" eb="70">
      <t>ムズカ</t>
    </rPh>
    <rPh sb="73" eb="74">
      <t>ト</t>
    </rPh>
    <rPh sb="75" eb="76">
      <t>カタ</t>
    </rPh>
    <rPh sb="77" eb="78">
      <t>オボ</t>
    </rPh>
    <rPh sb="81" eb="82">
      <t>ヒネ</t>
    </rPh>
    <rPh sb="85" eb="86">
      <t>ト</t>
    </rPh>
    <rPh sb="91" eb="92">
      <t>ナ</t>
    </rPh>
    <rPh sb="95" eb="97">
      <t>テンサ</t>
    </rPh>
    <rPh sb="102" eb="104">
      <t>ガンバ</t>
    </rPh>
    <phoneticPr fontId="3"/>
  </si>
  <si>
    <t>・以上、当問を手計算で当てるのはまず無理と言えるほど、難しい。ただ｢事例Ⅳ｣でこれ以上難しいNPVを出すと誰も解けないので、①～④それぞれ計算パターンを自分なりにつかんでおくと、確実な点差を取れる。</t>
    <rPh sb="1" eb="3">
      <t>イジョウ</t>
    </rPh>
    <rPh sb="4" eb="5">
      <t>トウ</t>
    </rPh>
    <rPh sb="5" eb="6">
      <t>モン</t>
    </rPh>
    <rPh sb="7" eb="8">
      <t>テ</t>
    </rPh>
    <rPh sb="8" eb="10">
      <t>ケイサン</t>
    </rPh>
    <rPh sb="11" eb="12">
      <t>ア</t>
    </rPh>
    <rPh sb="18" eb="20">
      <t>ムリ</t>
    </rPh>
    <rPh sb="21" eb="22">
      <t>イ</t>
    </rPh>
    <rPh sb="27" eb="28">
      <t>ムズカ</t>
    </rPh>
    <rPh sb="34" eb="36">
      <t>ジレイ</t>
    </rPh>
    <rPh sb="41" eb="43">
      <t>イジョウ</t>
    </rPh>
    <rPh sb="43" eb="44">
      <t>ムズカ</t>
    </rPh>
    <rPh sb="50" eb="51">
      <t>ダ</t>
    </rPh>
    <rPh sb="53" eb="54">
      <t>ダレ</t>
    </rPh>
    <rPh sb="55" eb="56">
      <t>ト</t>
    </rPh>
    <rPh sb="69" eb="71">
      <t>ケイサン</t>
    </rPh>
    <rPh sb="76" eb="78">
      <t>ジブン</t>
    </rPh>
    <rPh sb="89" eb="91">
      <t>カクジツ</t>
    </rPh>
    <rPh sb="92" eb="94">
      <t>テンサ</t>
    </rPh>
    <rPh sb="95" eb="96">
      <t>ト</t>
    </rPh>
    <phoneticPr fontId="3"/>
  </si>
  <si>
    <t>←○定額法は出る</t>
    <rPh sb="2" eb="4">
      <t>テイガク</t>
    </rPh>
    <rPh sb="4" eb="5">
      <t>ホウ</t>
    </rPh>
    <rPh sb="6" eb="7">
      <t>デ</t>
    </rPh>
    <phoneticPr fontId="3"/>
  </si>
  <si>
    <t>←○この程度は出る</t>
    <rPh sb="4" eb="6">
      <t>テイド</t>
    </rPh>
    <rPh sb="7" eb="8">
      <t>デ</t>
    </rPh>
    <phoneticPr fontId="3"/>
  </si>
  <si>
    <t>←×定率法は出ない</t>
    <rPh sb="2" eb="4">
      <t>テイリツ</t>
    </rPh>
    <rPh sb="4" eb="5">
      <t>ホウ</t>
    </rPh>
    <rPh sb="6" eb="7">
      <t>デ</t>
    </rPh>
    <phoneticPr fontId="3"/>
  </si>
  <si>
    <t>←×資金繰り(運転資本の毎期変動)は出ない</t>
    <rPh sb="2" eb="4">
      <t>シキン</t>
    </rPh>
    <rPh sb="4" eb="5">
      <t>グ</t>
    </rPh>
    <rPh sb="7" eb="9">
      <t>ウンテン</t>
    </rPh>
    <rPh sb="9" eb="11">
      <t>シホン</t>
    </rPh>
    <rPh sb="12" eb="14">
      <t>マイキ</t>
    </rPh>
    <rPh sb="14" eb="16">
      <t>ヘンドウ</t>
    </rPh>
    <rPh sb="18" eb="19">
      <t>デ</t>
    </rPh>
    <phoneticPr fontId="3"/>
  </si>
  <si>
    <t>←○期末売却収入は出る</t>
    <rPh sb="2" eb="4">
      <t>キマツ</t>
    </rPh>
    <rPh sb="4" eb="6">
      <t>バイキャク</t>
    </rPh>
    <rPh sb="6" eb="8">
      <t>シュウニュウ</t>
    </rPh>
    <rPh sb="9" eb="10">
      <t>デ</t>
    </rPh>
    <phoneticPr fontId="3"/>
  </si>
  <si>
    <t>問題⑭</t>
    <rPh sb="0" eb="2">
      <t>モンダイ</t>
    </rPh>
    <phoneticPr fontId="3"/>
  </si>
  <si>
    <t>・取替投資の問題は、①旧機械の減価償却と売却収入 ②新機械の購入・減価償却・売却がまず柱。ただこれだけではNPV&lt;0になるので必ず③何らかのコストダウン効果が加わる。①～③のパターンを掴むと、条件を読み取って計算するだけ。</t>
    <rPh sb="1" eb="3">
      <t>トリカエ</t>
    </rPh>
    <rPh sb="3" eb="5">
      <t>トウシ</t>
    </rPh>
    <rPh sb="6" eb="8">
      <t>モンダイ</t>
    </rPh>
    <rPh sb="11" eb="12">
      <t>キュウ</t>
    </rPh>
    <rPh sb="12" eb="14">
      <t>キカイ</t>
    </rPh>
    <rPh sb="15" eb="17">
      <t>ゲンカ</t>
    </rPh>
    <rPh sb="17" eb="19">
      <t>ショウキャク</t>
    </rPh>
    <rPh sb="20" eb="22">
      <t>バイキャク</t>
    </rPh>
    <rPh sb="22" eb="24">
      <t>シュウニュウ</t>
    </rPh>
    <phoneticPr fontId="3"/>
  </si>
  <si>
    <t>旧機械の減価償却</t>
    <rPh sb="0" eb="1">
      <t>キュウ</t>
    </rPh>
    <rPh sb="1" eb="3">
      <t>キカイ</t>
    </rPh>
    <rPh sb="4" eb="6">
      <t>ゲンカ</t>
    </rPh>
    <rPh sb="6" eb="8">
      <t>ショウキャク</t>
    </rPh>
    <phoneticPr fontId="3"/>
  </si>
  <si>
    <t>Y2</t>
    <phoneticPr fontId="3"/>
  </si>
  <si>
    <t>Y1</t>
    <phoneticPr fontId="3"/>
  </si>
  <si>
    <t>Y6</t>
  </si>
  <si>
    <t>Y7</t>
  </si>
  <si>
    <t>Y8</t>
  </si>
  <si>
    <t>Y9</t>
  </si>
  <si>
    <t>Y10</t>
  </si>
  <si>
    <t>取得価額・簿価</t>
    <rPh sb="0" eb="2">
      <t>シュトク</t>
    </rPh>
    <rPh sb="2" eb="4">
      <t>カガク</t>
    </rPh>
    <rPh sb="5" eb="7">
      <t>ボカ</t>
    </rPh>
    <phoneticPr fontId="3"/>
  </si>
  <si>
    <t>Y0</t>
    <phoneticPr fontId="3"/>
  </si>
  <si>
    <t>売却損</t>
    <rPh sb="0" eb="3">
      <t>バイキャクソン</t>
    </rPh>
    <phoneticPr fontId="3"/>
  </si>
  <si>
    <t>売却損TS</t>
    <rPh sb="0" eb="3">
      <t>バイキャクソン</t>
    </rPh>
    <phoneticPr fontId="3"/>
  </si>
  <si>
    <t>新機械の購入と減価償却</t>
    <rPh sb="0" eb="1">
      <t>シン</t>
    </rPh>
    <rPh sb="1" eb="3">
      <t>キカイ</t>
    </rPh>
    <rPh sb="4" eb="6">
      <t>コウニュウ</t>
    </rPh>
    <rPh sb="7" eb="9">
      <t>ゲンカ</t>
    </rPh>
    <rPh sb="9" eb="11">
      <t>ショウキャク</t>
    </rPh>
    <phoneticPr fontId="3"/>
  </si>
  <si>
    <t>売却益</t>
    <rPh sb="0" eb="3">
      <t>バイキャクエキ</t>
    </rPh>
    <phoneticPr fontId="3"/>
  </si>
  <si>
    <t>売却益TS</t>
    <rPh sb="0" eb="2">
      <t>バイキャク</t>
    </rPh>
    <rPh sb="2" eb="3">
      <t>エキ</t>
    </rPh>
    <phoneticPr fontId="3"/>
  </si>
  <si>
    <t>年金現価係数</t>
    <rPh sb="0" eb="2">
      <t>ネンキン</t>
    </rPh>
    <rPh sb="2" eb="4">
      <t>ゲンカ</t>
    </rPh>
    <rPh sb="4" eb="6">
      <t>ケイスウ</t>
    </rPh>
    <phoneticPr fontId="3"/>
  </si>
  <si>
    <t>・・問１</t>
    <rPh sb="2" eb="3">
      <t>トイ</t>
    </rPh>
    <phoneticPr fontId="3"/>
  </si>
  <si>
    <t>旧機械売却</t>
    <rPh sb="0" eb="1">
      <t>キュウ</t>
    </rPh>
    <rPh sb="1" eb="3">
      <t>キカイ</t>
    </rPh>
    <rPh sb="3" eb="5">
      <t>バイキャク</t>
    </rPh>
    <phoneticPr fontId="3"/>
  </si>
  <si>
    <t>新機械購入</t>
    <rPh sb="0" eb="1">
      <t>シン</t>
    </rPh>
    <rPh sb="1" eb="3">
      <t>キカイ</t>
    </rPh>
    <rPh sb="3" eb="5">
      <t>コウニュウ</t>
    </rPh>
    <phoneticPr fontId="3"/>
  </si>
  <si>
    <t>減価償却費TS</t>
    <rPh sb="0" eb="2">
      <t>ゲンカ</t>
    </rPh>
    <rPh sb="2" eb="4">
      <t>ショウキャク</t>
    </rPh>
    <rPh sb="4" eb="5">
      <t>ヒ</t>
    </rPh>
    <phoneticPr fontId="3"/>
  </si>
  <si>
    <t>新機械売却</t>
    <rPh sb="0" eb="1">
      <t>シン</t>
    </rPh>
    <rPh sb="1" eb="3">
      <t>キカイ</t>
    </rPh>
    <rPh sb="3" eb="5">
      <t>バイキャク</t>
    </rPh>
    <phoneticPr fontId="3"/>
  </si>
  <si>
    <t>税引後CIF計</t>
    <rPh sb="0" eb="2">
      <t>ゼイビキ</t>
    </rPh>
    <rPh sb="2" eb="3">
      <t>ゴ</t>
    </rPh>
    <rPh sb="6" eb="7">
      <t>ケイ</t>
    </rPh>
    <phoneticPr fontId="3"/>
  </si>
  <si>
    <t>問2 NPVの計算(法人税考慮なし)</t>
    <rPh sb="0" eb="1">
      <t>ト</t>
    </rPh>
    <rPh sb="7" eb="9">
      <t>ケイサン</t>
    </rPh>
    <rPh sb="10" eb="13">
      <t>ホウジンゼイ</t>
    </rPh>
    <rPh sb="13" eb="15">
      <t>コウリョ</t>
    </rPh>
    <phoneticPr fontId="3"/>
  </si>
  <si>
    <t>現金支出費用</t>
    <rPh sb="0" eb="2">
      <t>ゲンキン</t>
    </rPh>
    <rPh sb="2" eb="4">
      <t>シシュツ</t>
    </rPh>
    <rPh sb="4" eb="6">
      <t>ヒヨウ</t>
    </rPh>
    <phoneticPr fontId="3"/>
  </si>
  <si>
    <t>問3 NPVの計算(法人税考慮する)</t>
    <rPh sb="0" eb="1">
      <t>ト</t>
    </rPh>
    <rPh sb="7" eb="9">
      <t>ケイサン</t>
    </rPh>
    <rPh sb="10" eb="13">
      <t>ホウジンゼイ</t>
    </rPh>
    <rPh sb="13" eb="15">
      <t>コウリョ</t>
    </rPh>
    <phoneticPr fontId="3"/>
  </si>
  <si>
    <t>問4 感度分析(旧機械を使用しつづける場合)</t>
    <rPh sb="0" eb="1">
      <t>ト</t>
    </rPh>
    <rPh sb="3" eb="5">
      <t>カンド</t>
    </rPh>
    <rPh sb="5" eb="7">
      <t>ブンセキ</t>
    </rPh>
    <rPh sb="8" eb="9">
      <t>キュウ</t>
    </rPh>
    <rPh sb="9" eb="11">
      <t>キカイ</t>
    </rPh>
    <rPh sb="12" eb="14">
      <t>シヨウ</t>
    </rPh>
    <rPh sb="19" eb="21">
      <t>バアイ</t>
    </rPh>
    <phoneticPr fontId="3"/>
  </si>
  <si>
    <t>←問４で使う</t>
    <rPh sb="1" eb="2">
      <t>トイ</t>
    </rPh>
    <rPh sb="4" eb="5">
      <t>ツカ</t>
    </rPh>
    <phoneticPr fontId="3"/>
  </si>
  <si>
    <t>問5 新旧機械でどちらが｢損｣かの比較</t>
    <rPh sb="0" eb="1">
      <t>ト</t>
    </rPh>
    <rPh sb="3" eb="5">
      <t>シンキュウ</t>
    </rPh>
    <rPh sb="5" eb="7">
      <t>キカイ</t>
    </rPh>
    <rPh sb="13" eb="14">
      <t>ソン</t>
    </rPh>
    <rPh sb="17" eb="19">
      <t>ヒカク</t>
    </rPh>
    <phoneticPr fontId="3"/>
  </si>
  <si>
    <t>新機械の方が</t>
    <rPh sb="0" eb="1">
      <t>シン</t>
    </rPh>
    <rPh sb="1" eb="3">
      <t>キカイ</t>
    </rPh>
    <rPh sb="4" eb="5">
      <t>ホウ</t>
    </rPh>
    <phoneticPr fontId="3"/>
  </si>
  <si>
    <t>万円有利となる。</t>
    <rPh sb="0" eb="2">
      <t>マンエン</t>
    </rPh>
    <rPh sb="2" eb="4">
      <t>ユウリ</t>
    </rPh>
    <phoneticPr fontId="3"/>
  </si>
  <si>
    <t>問6 総額法についての説明</t>
    <rPh sb="0" eb="1">
      <t>ト</t>
    </rPh>
    <rPh sb="3" eb="5">
      <t>ソウガク</t>
    </rPh>
    <rPh sb="5" eb="6">
      <t>ホウ</t>
    </rPh>
    <rPh sb="11" eb="13">
      <t>セツメイ</t>
    </rPh>
    <phoneticPr fontId="3"/>
  </si>
  <si>
    <t>解答省略</t>
    <rPh sb="0" eb="2">
      <t>カイトウ</t>
    </rPh>
    <rPh sb="2" eb="4">
      <t>ショウリャク</t>
    </rPh>
    <phoneticPr fontId="3"/>
  </si>
  <si>
    <t>・当問は差額原価でなく、総額法で計算させるパターン。｢事例Ⅳ｣でこの解き方が問われることは考えにくく、｢こういう解き方もある｣とだけ知っておけば十分。</t>
    <rPh sb="1" eb="2">
      <t>トウ</t>
    </rPh>
    <rPh sb="2" eb="3">
      <t>モン</t>
    </rPh>
    <rPh sb="4" eb="6">
      <t>サガク</t>
    </rPh>
    <rPh sb="6" eb="8">
      <t>ゲンカ</t>
    </rPh>
    <rPh sb="12" eb="14">
      <t>ソウガク</t>
    </rPh>
    <rPh sb="14" eb="15">
      <t>ホウ</t>
    </rPh>
    <rPh sb="16" eb="18">
      <t>ケイサン</t>
    </rPh>
    <rPh sb="27" eb="29">
      <t>ジレイ</t>
    </rPh>
    <rPh sb="34" eb="35">
      <t>ト</t>
    </rPh>
    <rPh sb="36" eb="37">
      <t>カタ</t>
    </rPh>
    <rPh sb="38" eb="39">
      <t>ト</t>
    </rPh>
    <rPh sb="45" eb="46">
      <t>カンガ</t>
    </rPh>
    <rPh sb="56" eb="57">
      <t>ト</t>
    </rPh>
    <rPh sb="58" eb="59">
      <t>カタ</t>
    </rPh>
    <rPh sb="66" eb="67">
      <t>シ</t>
    </rPh>
    <rPh sb="72" eb="74">
      <t>ジュウブン</t>
    </rPh>
    <phoneticPr fontId="3"/>
  </si>
  <si>
    <t>販売・手直し・クレーム数量の把握</t>
    <rPh sb="0" eb="2">
      <t>ハンバイ</t>
    </rPh>
    <rPh sb="3" eb="5">
      <t>テナオ</t>
    </rPh>
    <rPh sb="11" eb="13">
      <t>スウリョウ</t>
    </rPh>
    <rPh sb="14" eb="16">
      <t>ハアク</t>
    </rPh>
    <phoneticPr fontId="3"/>
  </si>
  <si>
    <t>甲案</t>
    <rPh sb="0" eb="1">
      <t>コウ</t>
    </rPh>
    <rPh sb="1" eb="2">
      <t>アン</t>
    </rPh>
    <phoneticPr fontId="3"/>
  </si>
  <si>
    <t>販売</t>
    <rPh sb="0" eb="2">
      <t>ハンバイ</t>
    </rPh>
    <phoneticPr fontId="3"/>
  </si>
  <si>
    <t>手直し数量</t>
    <rPh sb="0" eb="2">
      <t>テナオ</t>
    </rPh>
    <rPh sb="3" eb="5">
      <t>スウリョウ</t>
    </rPh>
    <phoneticPr fontId="3"/>
  </si>
  <si>
    <t>単価</t>
    <rPh sb="0" eb="2">
      <t>タンカ</t>
    </rPh>
    <phoneticPr fontId="3"/>
  </si>
  <si>
    <t>手直しコスト</t>
    <rPh sb="0" eb="2">
      <t>テナオ</t>
    </rPh>
    <phoneticPr fontId="3"/>
  </si>
  <si>
    <t>手直しコスト(万円)</t>
    <rPh sb="0" eb="2">
      <t>テナオ</t>
    </rPh>
    <rPh sb="7" eb="9">
      <t>マンエン</t>
    </rPh>
    <phoneticPr fontId="3"/>
  </si>
  <si>
    <t>個</t>
    <rPh sb="0" eb="1">
      <t>コ</t>
    </rPh>
    <phoneticPr fontId="3"/>
  </si>
  <si>
    <t>万円</t>
    <rPh sb="0" eb="2">
      <t>マンエン</t>
    </rPh>
    <phoneticPr fontId="3"/>
  </si>
  <si>
    <t>乙案</t>
    <rPh sb="0" eb="1">
      <t>オツ</t>
    </rPh>
    <rPh sb="1" eb="2">
      <t>アン</t>
    </rPh>
    <phoneticPr fontId="3"/>
  </si>
  <si>
    <t>クレーム数量</t>
    <rPh sb="4" eb="6">
      <t>スウリョウ</t>
    </rPh>
    <phoneticPr fontId="3"/>
  </si>
  <si>
    <t>クレームコスト</t>
    <phoneticPr fontId="3"/>
  </si>
  <si>
    <t>研修教育</t>
    <rPh sb="0" eb="2">
      <t>ケンシュウ</t>
    </rPh>
    <rPh sb="2" eb="4">
      <t>キョウイク</t>
    </rPh>
    <phoneticPr fontId="3"/>
  </si>
  <si>
    <t>旧設備売却＋新設備+検査機械導入</t>
    <rPh sb="0" eb="1">
      <t>キュウ</t>
    </rPh>
    <rPh sb="1" eb="3">
      <t>セツビ</t>
    </rPh>
    <rPh sb="3" eb="5">
      <t>バイキャク</t>
    </rPh>
    <rPh sb="6" eb="9">
      <t>シンセツビ</t>
    </rPh>
    <rPh sb="10" eb="12">
      <t>ケンサ</t>
    </rPh>
    <rPh sb="12" eb="14">
      <t>キカイ</t>
    </rPh>
    <rPh sb="14" eb="16">
      <t>ドウニュウ</t>
    </rPh>
    <phoneticPr fontId="3"/>
  </si>
  <si>
    <t>Y3</t>
    <phoneticPr fontId="3"/>
  </si>
  <si>
    <t>旧設備</t>
    <rPh sb="0" eb="1">
      <t>キュウ</t>
    </rPh>
    <rPh sb="1" eb="3">
      <t>セツビ</t>
    </rPh>
    <phoneticPr fontId="3"/>
  </si>
  <si>
    <t>新設備</t>
    <rPh sb="0" eb="3">
      <t>シンセツビ</t>
    </rPh>
    <phoneticPr fontId="3"/>
  </si>
  <si>
    <t>検査機械</t>
    <rPh sb="0" eb="2">
      <t>ケンサ</t>
    </rPh>
    <rPh sb="2" eb="4">
      <t>キカイ</t>
    </rPh>
    <phoneticPr fontId="3"/>
  </si>
  <si>
    <t>耐用年数</t>
    <rPh sb="0" eb="2">
      <t>タイヨウ</t>
    </rPh>
    <rPh sb="2" eb="4">
      <t>ネンスウ</t>
    </rPh>
    <phoneticPr fontId="3"/>
  </si>
  <si>
    <t>問2 法人税支払を考慮する毎年のCF</t>
    <rPh sb="0" eb="1">
      <t>ト</t>
    </rPh>
    <rPh sb="3" eb="6">
      <t>ホウジンゼイ</t>
    </rPh>
    <rPh sb="6" eb="8">
      <t>シハラ</t>
    </rPh>
    <rPh sb="9" eb="11">
      <t>コウリョ</t>
    </rPh>
    <rPh sb="13" eb="15">
      <t>マイトシ</t>
    </rPh>
    <phoneticPr fontId="3"/>
  </si>
  <si>
    <t>旧機械の売却</t>
    <rPh sb="0" eb="1">
      <t>キュウ</t>
    </rPh>
    <rPh sb="1" eb="3">
      <t>キカイ</t>
    </rPh>
    <rPh sb="4" eb="6">
      <t>バイキャク</t>
    </rPh>
    <phoneticPr fontId="3"/>
  </si>
  <si>
    <t>Y0で売却</t>
    <rPh sb="3" eb="5">
      <t>バイキャク</t>
    </rPh>
    <phoneticPr fontId="3"/>
  </si>
  <si>
    <t>TS</t>
    <phoneticPr fontId="3"/>
  </si>
  <si>
    <t>新機械の購入</t>
    <rPh sb="0" eb="1">
      <t>シン</t>
    </rPh>
    <rPh sb="1" eb="3">
      <t>キカイ</t>
    </rPh>
    <rPh sb="4" eb="6">
      <t>コウニュウ</t>
    </rPh>
    <phoneticPr fontId="3"/>
  </si>
  <si>
    <t>〃減価償却費TS</t>
    <rPh sb="1" eb="3">
      <t>ゲンカ</t>
    </rPh>
    <rPh sb="3" eb="5">
      <t>ショウキャク</t>
    </rPh>
    <rPh sb="5" eb="6">
      <t>ヒ</t>
    </rPh>
    <phoneticPr fontId="3"/>
  </si>
  <si>
    <t>新機械の売却</t>
    <rPh sb="0" eb="1">
      <t>シン</t>
    </rPh>
    <rPh sb="1" eb="3">
      <t>キカイ</t>
    </rPh>
    <rPh sb="4" eb="6">
      <t>バイキャク</t>
    </rPh>
    <phoneticPr fontId="3"/>
  </si>
  <si>
    <t>Y4で売却</t>
    <rPh sb="3" eb="5">
      <t>バイキャク</t>
    </rPh>
    <phoneticPr fontId="3"/>
  </si>
  <si>
    <t>検査機械の購入</t>
    <rPh sb="0" eb="2">
      <t>ケンサ</t>
    </rPh>
    <rPh sb="2" eb="4">
      <t>キカイ</t>
    </rPh>
    <rPh sb="5" eb="7">
      <t>コウニュウ</t>
    </rPh>
    <phoneticPr fontId="3"/>
  </si>
  <si>
    <t>検査機械の売却</t>
    <rPh sb="0" eb="2">
      <t>ケンサ</t>
    </rPh>
    <rPh sb="2" eb="4">
      <t>キカイ</t>
    </rPh>
    <rPh sb="5" eb="7">
      <t>バイキャク</t>
    </rPh>
    <phoneticPr fontId="3"/>
  </si>
  <si>
    <t>税引後研修教育費</t>
    <rPh sb="0" eb="2">
      <t>ゼイビキ</t>
    </rPh>
    <rPh sb="2" eb="3">
      <t>ゴ</t>
    </rPh>
    <rPh sb="3" eb="5">
      <t>ケンシュウ</t>
    </rPh>
    <rPh sb="5" eb="8">
      <t>キョウイクヒ</t>
    </rPh>
    <phoneticPr fontId="3"/>
  </si>
  <si>
    <t>税引後検査コスト</t>
    <rPh sb="0" eb="2">
      <t>ゼイビキ</t>
    </rPh>
    <rPh sb="2" eb="3">
      <t>ゴ</t>
    </rPh>
    <rPh sb="3" eb="5">
      <t>ケンサ</t>
    </rPh>
    <phoneticPr fontId="3"/>
  </si>
  <si>
    <t>税引後手直し費</t>
    <rPh sb="0" eb="2">
      <t>ゼイビキ</t>
    </rPh>
    <rPh sb="2" eb="3">
      <t>ゴ</t>
    </rPh>
    <rPh sb="3" eb="5">
      <t>テナオ</t>
    </rPh>
    <rPh sb="6" eb="7">
      <t>ヒ</t>
    </rPh>
    <phoneticPr fontId="3"/>
  </si>
  <si>
    <t>税引後CF計</t>
    <rPh sb="0" eb="2">
      <t>ゼイビキ</t>
    </rPh>
    <rPh sb="2" eb="3">
      <t>ゴ</t>
    </rPh>
    <rPh sb="5" eb="6">
      <t>ケイ</t>
    </rPh>
    <phoneticPr fontId="3"/>
  </si>
  <si>
    <t>検査コスト</t>
    <rPh sb="0" eb="2">
      <t>ケンサ</t>
    </rPh>
    <phoneticPr fontId="3"/>
  </si>
  <si>
    <t>旧設備をそのまま使う</t>
    <rPh sb="0" eb="1">
      <t>キュウ</t>
    </rPh>
    <rPh sb="1" eb="3">
      <t>セツビ</t>
    </rPh>
    <rPh sb="8" eb="9">
      <t>ツカ</t>
    </rPh>
    <phoneticPr fontId="3"/>
  </si>
  <si>
    <t>旧機械減価償却費TS</t>
    <rPh sb="0" eb="1">
      <t>キュウ</t>
    </rPh>
    <rPh sb="1" eb="3">
      <t>キカイ</t>
    </rPh>
    <rPh sb="3" eb="5">
      <t>ゲンカ</t>
    </rPh>
    <rPh sb="5" eb="7">
      <t>ショウキャク</t>
    </rPh>
    <rPh sb="7" eb="8">
      <t>ヒ</t>
    </rPh>
    <phoneticPr fontId="3"/>
  </si>
  <si>
    <t>税引後クレームコスト</t>
    <rPh sb="0" eb="2">
      <t>ゼイビキ</t>
    </rPh>
    <rPh sb="2" eb="3">
      <t>ゴ</t>
    </rPh>
    <phoneticPr fontId="3"/>
  </si>
  <si>
    <t>売上・利益の減少(税引後)</t>
    <rPh sb="0" eb="2">
      <t>ウリアゲ</t>
    </rPh>
    <rPh sb="3" eb="5">
      <t>リエキ</t>
    </rPh>
    <rPh sb="6" eb="8">
      <t>ゲンショウ</t>
    </rPh>
    <rPh sb="9" eb="11">
      <t>ゼイビキ</t>
    </rPh>
    <rPh sb="11" eb="12">
      <t>ゴ</t>
    </rPh>
    <phoneticPr fontId="3"/>
  </si>
  <si>
    <t>基本⑲</t>
    <rPh sb="0" eb="2">
      <t>キホン</t>
    </rPh>
    <phoneticPr fontId="3"/>
  </si>
  <si>
    <t>活動基準原価計算</t>
    <rPh sb="0" eb="2">
      <t>カツドウ</t>
    </rPh>
    <rPh sb="2" eb="4">
      <t>キジュン</t>
    </rPh>
    <rPh sb="4" eb="6">
      <t>ゲンカ</t>
    </rPh>
    <rPh sb="6" eb="8">
      <t>ケイサン</t>
    </rPh>
    <phoneticPr fontId="3"/>
  </si>
  <si>
    <t>基本⑱</t>
    <rPh sb="0" eb="2">
      <t>キホン</t>
    </rPh>
    <phoneticPr fontId="3"/>
  </si>
  <si>
    <t>品質原価計算</t>
    <rPh sb="0" eb="2">
      <t>ヒンシツ</t>
    </rPh>
    <rPh sb="2" eb="4">
      <t>ゲンカ</t>
    </rPh>
    <rPh sb="4" eb="6">
      <t>ケイサン</t>
    </rPh>
    <phoneticPr fontId="3"/>
  </si>
  <si>
    <t>第3章 戦略的管理会計</t>
    <rPh sb="0" eb="1">
      <t>ダイ</t>
    </rPh>
    <rPh sb="2" eb="3">
      <t>ショウ</t>
    </rPh>
    <rPh sb="4" eb="7">
      <t>センリャクテキ</t>
    </rPh>
    <rPh sb="7" eb="9">
      <t>カンリ</t>
    </rPh>
    <rPh sb="9" eb="11">
      <t>カイケイ</t>
    </rPh>
    <phoneticPr fontId="3"/>
  </si>
  <si>
    <t>基本⑰</t>
    <rPh sb="0" eb="2">
      <t>キホン</t>
    </rPh>
    <phoneticPr fontId="3"/>
  </si>
  <si>
    <t>耐用年数が異なる投資案の比較</t>
    <rPh sb="0" eb="2">
      <t>タイヨウ</t>
    </rPh>
    <rPh sb="2" eb="4">
      <t>ネンスウ</t>
    </rPh>
    <rPh sb="5" eb="6">
      <t>コト</t>
    </rPh>
    <rPh sb="8" eb="10">
      <t>トウシ</t>
    </rPh>
    <rPh sb="10" eb="11">
      <t>アン</t>
    </rPh>
    <rPh sb="12" eb="14">
      <t>ヒカク</t>
    </rPh>
    <phoneticPr fontId="3"/>
  </si>
  <si>
    <t>C</t>
    <phoneticPr fontId="3"/>
  </si>
  <si>
    <t>CASE19</t>
  </si>
  <si>
    <t>リースか購入かの意思決定</t>
    <rPh sb="4" eb="6">
      <t>コウニュウ</t>
    </rPh>
    <rPh sb="8" eb="10">
      <t>イシ</t>
    </rPh>
    <rPh sb="10" eb="12">
      <t>ケッテイ</t>
    </rPh>
    <phoneticPr fontId="3"/>
  </si>
  <si>
    <t>CASE18</t>
  </si>
  <si>
    <t>応用⑮</t>
    <rPh sb="0" eb="2">
      <t>オウヨウ</t>
    </rPh>
    <phoneticPr fontId="3"/>
  </si>
  <si>
    <t>基本⑭</t>
    <rPh sb="0" eb="2">
      <t>キホン</t>
    </rPh>
    <phoneticPr fontId="3"/>
  </si>
  <si>
    <t>取替投資の意思決定</t>
    <rPh sb="0" eb="2">
      <t>トリカ</t>
    </rPh>
    <rPh sb="2" eb="4">
      <t>トウシ</t>
    </rPh>
    <rPh sb="5" eb="7">
      <t>イシ</t>
    </rPh>
    <rPh sb="7" eb="9">
      <t>ケッテイ</t>
    </rPh>
    <phoneticPr fontId="3"/>
  </si>
  <si>
    <t>A</t>
    <phoneticPr fontId="3"/>
  </si>
  <si>
    <t>CASE17</t>
  </si>
  <si>
    <t>基本⑬</t>
    <rPh sb="0" eb="2">
      <t>キホン</t>
    </rPh>
    <phoneticPr fontId="3"/>
  </si>
  <si>
    <t>基本⑫</t>
    <rPh sb="0" eb="2">
      <t>キホン</t>
    </rPh>
    <phoneticPr fontId="3"/>
  </si>
  <si>
    <t>新規大規模投資の意思決定</t>
    <rPh sb="0" eb="2">
      <t>シンキ</t>
    </rPh>
    <rPh sb="2" eb="5">
      <t>ダイキボ</t>
    </rPh>
    <rPh sb="5" eb="7">
      <t>トウシ</t>
    </rPh>
    <rPh sb="8" eb="10">
      <t>イシ</t>
    </rPh>
    <rPh sb="10" eb="12">
      <t>ケッテイ</t>
    </rPh>
    <phoneticPr fontId="3"/>
  </si>
  <si>
    <t>S</t>
    <phoneticPr fontId="3"/>
  </si>
  <si>
    <t>CASE16</t>
  </si>
  <si>
    <t>タックス・シールドを考慮したCF計算</t>
    <rPh sb="10" eb="12">
      <t>コウリョ</t>
    </rPh>
    <rPh sb="16" eb="18">
      <t>ケイサン</t>
    </rPh>
    <phoneticPr fontId="3"/>
  </si>
  <si>
    <t>CASE15</t>
  </si>
  <si>
    <t>タックス・シールドとは？</t>
    <phoneticPr fontId="3"/>
  </si>
  <si>
    <t>CASE14</t>
  </si>
  <si>
    <t>設備投資意思決定 ～時間価値を考慮なし</t>
    <rPh sb="0" eb="2">
      <t>セツビ</t>
    </rPh>
    <rPh sb="2" eb="4">
      <t>トウシ</t>
    </rPh>
    <rPh sb="4" eb="6">
      <t>イシ</t>
    </rPh>
    <rPh sb="6" eb="8">
      <t>ケッテイ</t>
    </rPh>
    <rPh sb="10" eb="12">
      <t>ジカン</t>
    </rPh>
    <rPh sb="12" eb="14">
      <t>カチ</t>
    </rPh>
    <rPh sb="15" eb="17">
      <t>コウリョ</t>
    </rPh>
    <phoneticPr fontId="3"/>
  </si>
  <si>
    <t>CASE13</t>
  </si>
  <si>
    <t>基本⑪</t>
    <rPh sb="0" eb="2">
      <t>キホン</t>
    </rPh>
    <phoneticPr fontId="3"/>
  </si>
  <si>
    <t>応用⑩</t>
    <rPh sb="0" eb="2">
      <t>オウヨウ</t>
    </rPh>
    <phoneticPr fontId="3"/>
  </si>
  <si>
    <t>基本⑨</t>
    <rPh sb="0" eb="2">
      <t>キホン</t>
    </rPh>
    <phoneticPr fontId="3"/>
  </si>
  <si>
    <t>基本⑧</t>
    <rPh sb="0" eb="2">
      <t>キホン</t>
    </rPh>
    <phoneticPr fontId="3"/>
  </si>
  <si>
    <t>設備投資意思決定の評価モデル</t>
    <rPh sb="0" eb="2">
      <t>セツビ</t>
    </rPh>
    <rPh sb="2" eb="4">
      <t>トウシ</t>
    </rPh>
    <rPh sb="4" eb="6">
      <t>イシ</t>
    </rPh>
    <rPh sb="6" eb="8">
      <t>ケッテイ</t>
    </rPh>
    <rPh sb="9" eb="11">
      <t>ヒョウカ</t>
    </rPh>
    <phoneticPr fontId="3"/>
  </si>
  <si>
    <t>CASE12</t>
  </si>
  <si>
    <t>貨幣の時間価値</t>
    <rPh sb="0" eb="2">
      <t>カヘイ</t>
    </rPh>
    <rPh sb="3" eb="5">
      <t>ジカン</t>
    </rPh>
    <rPh sb="5" eb="7">
      <t>カチ</t>
    </rPh>
    <phoneticPr fontId="3"/>
  </si>
  <si>
    <t>CASE11</t>
  </si>
  <si>
    <t>設備投資の意思決定とは？</t>
    <rPh sb="0" eb="2">
      <t>セツビ</t>
    </rPh>
    <rPh sb="2" eb="4">
      <t>トウシ</t>
    </rPh>
    <rPh sb="5" eb="7">
      <t>イシ</t>
    </rPh>
    <rPh sb="7" eb="9">
      <t>ケッテイ</t>
    </rPh>
    <phoneticPr fontId="3"/>
  </si>
  <si>
    <t>第2章 設備投資の意思決定</t>
    <rPh sb="0" eb="1">
      <t>ダイ</t>
    </rPh>
    <rPh sb="2" eb="3">
      <t>ショウ</t>
    </rPh>
    <rPh sb="4" eb="6">
      <t>セツビ</t>
    </rPh>
    <rPh sb="6" eb="8">
      <t>トウシ</t>
    </rPh>
    <rPh sb="9" eb="11">
      <t>イシ</t>
    </rPh>
    <rPh sb="11" eb="13">
      <t>ケッテイ</t>
    </rPh>
    <phoneticPr fontId="3"/>
  </si>
  <si>
    <t>経済的発注量 値引あり</t>
    <rPh sb="0" eb="3">
      <t>ケイザイテキ</t>
    </rPh>
    <rPh sb="3" eb="6">
      <t>ハッチュウリョウ</t>
    </rPh>
    <rPh sb="7" eb="9">
      <t>ネビ</t>
    </rPh>
    <phoneticPr fontId="3"/>
  </si>
  <si>
    <t>CASE9</t>
  </si>
  <si>
    <t>経済的発注量</t>
    <rPh sb="0" eb="3">
      <t>ケイザイテキ</t>
    </rPh>
    <rPh sb="3" eb="6">
      <t>ハッチュウリョウ</t>
    </rPh>
    <phoneticPr fontId="3"/>
  </si>
  <si>
    <t>CASE8</t>
  </si>
  <si>
    <t>基本⑥</t>
    <rPh sb="0" eb="2">
      <t>キホン</t>
    </rPh>
    <phoneticPr fontId="3"/>
  </si>
  <si>
    <t>セグメントの存廃</t>
    <rPh sb="6" eb="8">
      <t>ソンパイ</t>
    </rPh>
    <phoneticPr fontId="3"/>
  </si>
  <si>
    <t>CASE7</t>
  </si>
  <si>
    <t>追加加工の要否</t>
    <rPh sb="0" eb="2">
      <t>ツイカ</t>
    </rPh>
    <rPh sb="2" eb="4">
      <t>カコウ</t>
    </rPh>
    <rPh sb="5" eb="7">
      <t>ヨウヒ</t>
    </rPh>
    <phoneticPr fontId="3"/>
  </si>
  <si>
    <t>CASE6</t>
  </si>
  <si>
    <t>応用④</t>
    <rPh sb="0" eb="2">
      <t>オウヨウ</t>
    </rPh>
    <phoneticPr fontId="3"/>
  </si>
  <si>
    <t>基本③</t>
    <rPh sb="0" eb="2">
      <t>キホン</t>
    </rPh>
    <phoneticPr fontId="3"/>
  </si>
  <si>
    <t>内外製</t>
    <rPh sb="0" eb="2">
      <t>ナイガイ</t>
    </rPh>
    <rPh sb="2" eb="3">
      <t>セイ</t>
    </rPh>
    <phoneticPr fontId="3"/>
  </si>
  <si>
    <t>CASE5</t>
  </si>
  <si>
    <t>○</t>
    <phoneticPr fontId="3"/>
  </si>
  <si>
    <t>応用②</t>
    <rPh sb="0" eb="2">
      <t>オウヨウ</t>
    </rPh>
    <phoneticPr fontId="3"/>
  </si>
  <si>
    <t>基本①</t>
    <rPh sb="0" eb="2">
      <t>キホン</t>
    </rPh>
    <phoneticPr fontId="3"/>
  </si>
  <si>
    <t>特別注文引受可否</t>
    <rPh sb="0" eb="2">
      <t>トクベツ</t>
    </rPh>
    <rPh sb="2" eb="4">
      <t>チュウモン</t>
    </rPh>
    <rPh sb="4" eb="6">
      <t>ヒキウケ</t>
    </rPh>
    <rPh sb="6" eb="8">
      <t>カヒ</t>
    </rPh>
    <phoneticPr fontId="3"/>
  </si>
  <si>
    <t>CASE4</t>
  </si>
  <si>
    <t>差額原価収益分析とは？</t>
    <rPh sb="0" eb="2">
      <t>サガク</t>
    </rPh>
    <rPh sb="2" eb="4">
      <t>ゲンカ</t>
    </rPh>
    <rPh sb="4" eb="6">
      <t>シュウエキ</t>
    </rPh>
    <rPh sb="6" eb="8">
      <t>ブンセキ</t>
    </rPh>
    <phoneticPr fontId="3"/>
  </si>
  <si>
    <t>CASE3</t>
  </si>
  <si>
    <t>経営意思決定における原価</t>
    <rPh sb="0" eb="2">
      <t>ケイエイ</t>
    </rPh>
    <rPh sb="2" eb="4">
      <t>イシ</t>
    </rPh>
    <rPh sb="4" eb="6">
      <t>ケッテイ</t>
    </rPh>
    <rPh sb="10" eb="12">
      <t>ゲンカ</t>
    </rPh>
    <phoneticPr fontId="3"/>
  </si>
  <si>
    <t>CASE2</t>
  </si>
  <si>
    <t>経営意思決定とは？</t>
    <rPh sb="0" eb="2">
      <t>ケイエイ</t>
    </rPh>
    <rPh sb="2" eb="4">
      <t>イシ</t>
    </rPh>
    <rPh sb="4" eb="6">
      <t>ケッテイ</t>
    </rPh>
    <phoneticPr fontId="3"/>
  </si>
  <si>
    <t>B</t>
    <phoneticPr fontId="3"/>
  </si>
  <si>
    <t>第1章 業務的意思決定</t>
    <rPh sb="0" eb="1">
      <t>ダイ</t>
    </rPh>
    <rPh sb="2" eb="3">
      <t>ショウ</t>
    </rPh>
    <rPh sb="4" eb="7">
      <t>ギョウムテキ</t>
    </rPh>
    <rPh sb="7" eb="9">
      <t>イシ</t>
    </rPh>
    <rPh sb="9" eb="11">
      <t>ケッテイ</t>
    </rPh>
    <phoneticPr fontId="3"/>
  </si>
  <si>
    <t>感度分析</t>
    <rPh sb="0" eb="2">
      <t>カンド</t>
    </rPh>
    <rPh sb="2" eb="4">
      <t>ブンセキ</t>
    </rPh>
    <phoneticPr fontId="3"/>
  </si>
  <si>
    <t>差額原価収益</t>
    <rPh sb="0" eb="2">
      <t>サガク</t>
    </rPh>
    <rPh sb="2" eb="4">
      <t>ゲンカ</t>
    </rPh>
    <rPh sb="4" eb="6">
      <t>シュウエキ</t>
    </rPh>
    <phoneticPr fontId="3"/>
  </si>
  <si>
    <t>標準原価カード</t>
    <rPh sb="0" eb="2">
      <t>ヒョウジュン</t>
    </rPh>
    <rPh sb="2" eb="4">
      <t>ゲンカ</t>
    </rPh>
    <phoneticPr fontId="3"/>
  </si>
  <si>
    <t>直接原価計算</t>
    <rPh sb="0" eb="2">
      <t>チョクセツ</t>
    </rPh>
    <rPh sb="2" eb="4">
      <t>ゲンカ</t>
    </rPh>
    <rPh sb="4" eb="6">
      <t>ケイサン</t>
    </rPh>
    <phoneticPr fontId="3"/>
  </si>
  <si>
    <t>問題</t>
    <rPh sb="0" eb="2">
      <t>モンダイ</t>
    </rPh>
    <phoneticPr fontId="3"/>
  </si>
  <si>
    <t>計算パターンの要素</t>
    <rPh sb="0" eb="2">
      <t>ケイサン</t>
    </rPh>
    <rPh sb="7" eb="9">
      <t>ヨウソ</t>
    </rPh>
    <phoneticPr fontId="3"/>
  </si>
  <si>
    <t>タイトル</t>
    <phoneticPr fontId="3"/>
  </si>
  <si>
    <t>重要度</t>
    <rPh sb="0" eb="3">
      <t>ジュウヨウド</t>
    </rPh>
    <phoneticPr fontId="3"/>
  </si>
  <si>
    <t>章・節</t>
    <rPh sb="0" eb="1">
      <t>ショウ</t>
    </rPh>
    <rPh sb="2" eb="3">
      <t>セツ</t>
    </rPh>
    <phoneticPr fontId="3"/>
  </si>
  <si>
    <t>固変分解</t>
    <rPh sb="0" eb="1">
      <t>コ</t>
    </rPh>
    <rPh sb="1" eb="2">
      <t>ヘン</t>
    </rPh>
    <rPh sb="2" eb="4">
      <t>ブンカイ</t>
    </rPh>
    <phoneticPr fontId="3"/>
  </si>
  <si>
    <t>○</t>
    <phoneticPr fontId="3"/>
  </si>
  <si>
    <t>連結原価</t>
    <rPh sb="0" eb="2">
      <t>レンケツ</t>
    </rPh>
    <rPh sb="2" eb="4">
      <t>ゲンカ</t>
    </rPh>
    <phoneticPr fontId="3"/>
  </si>
  <si>
    <t>個別固定費</t>
    <rPh sb="0" eb="2">
      <t>コベツ</t>
    </rPh>
    <rPh sb="2" eb="5">
      <t>コテイヒ</t>
    </rPh>
    <phoneticPr fontId="3"/>
  </si>
  <si>
    <t>経済的発注量</t>
    <rPh sb="0" eb="3">
      <t>ケイザイテキ</t>
    </rPh>
    <rPh sb="3" eb="5">
      <t>ハッチュウ</t>
    </rPh>
    <rPh sb="5" eb="6">
      <t>リョウ</t>
    </rPh>
    <phoneticPr fontId="3"/>
  </si>
  <si>
    <t>方程式(損益/優劣分岐)</t>
    <rPh sb="0" eb="3">
      <t>ホウテイシキ</t>
    </rPh>
    <rPh sb="4" eb="6">
      <t>ソンエキ</t>
    </rPh>
    <rPh sb="7" eb="9">
      <t>ユウレツ</t>
    </rPh>
    <rPh sb="9" eb="11">
      <t>ブンキ</t>
    </rPh>
    <phoneticPr fontId="3"/>
  </si>
  <si>
    <t>スッキリわかる 1級エクセル</t>
    <rPh sb="9" eb="10">
      <t>キュウ</t>
    </rPh>
    <phoneticPr fontId="3"/>
  </si>
  <si>
    <t xml:space="preserve">第1章 CASE4 特別注文 </t>
    <rPh sb="0" eb="1">
      <t>ダイ</t>
    </rPh>
    <rPh sb="2" eb="3">
      <t>ショウ</t>
    </rPh>
    <rPh sb="10" eb="12">
      <t>トクベツ</t>
    </rPh>
    <rPh sb="12" eb="14">
      <t>チュウモン</t>
    </rPh>
    <phoneticPr fontId="3"/>
  </si>
  <si>
    <t xml:space="preserve">第2章 CASE12 設備投資意思決定 </t>
    <rPh sb="0" eb="1">
      <t>ダイ</t>
    </rPh>
    <rPh sb="2" eb="3">
      <t>ショウ</t>
    </rPh>
    <rPh sb="11" eb="13">
      <t>セツビ</t>
    </rPh>
    <rPh sb="13" eb="15">
      <t>トウシ</t>
    </rPh>
    <rPh sb="15" eb="17">
      <t>イシ</t>
    </rPh>
    <rPh sb="17" eb="19">
      <t>ケッテイ</t>
    </rPh>
    <phoneticPr fontId="3"/>
  </si>
  <si>
    <t>問題⑨</t>
    <rPh sb="0" eb="2">
      <t>モンダイ</t>
    </rPh>
    <phoneticPr fontId="3"/>
  </si>
  <si>
    <t>問題⑩</t>
    <rPh sb="0" eb="2">
      <t>モンダイ</t>
    </rPh>
    <phoneticPr fontId="3"/>
  </si>
  <si>
    <t>問題⑪</t>
    <rPh sb="0" eb="2">
      <t>モンダイ</t>
    </rPh>
    <phoneticPr fontId="3"/>
  </si>
  <si>
    <t>問題⑫</t>
    <rPh sb="0" eb="2">
      <t>モンダイ</t>
    </rPh>
    <phoneticPr fontId="3"/>
  </si>
  <si>
    <t xml:space="preserve">第2章 CASE13 設備投資意思決定 ～時間価値考慮しない </t>
    <rPh sb="0" eb="1">
      <t>ダイ</t>
    </rPh>
    <rPh sb="2" eb="3">
      <t>ショウ</t>
    </rPh>
    <rPh sb="11" eb="13">
      <t>セツビ</t>
    </rPh>
    <rPh sb="13" eb="15">
      <t>トウシ</t>
    </rPh>
    <rPh sb="15" eb="17">
      <t>イシ</t>
    </rPh>
    <rPh sb="17" eb="19">
      <t>ケッテイ</t>
    </rPh>
    <rPh sb="21" eb="23">
      <t>ジカン</t>
    </rPh>
    <rPh sb="23" eb="25">
      <t>カチ</t>
    </rPh>
    <rPh sb="25" eb="27">
      <t>コウリョ</t>
    </rPh>
    <phoneticPr fontId="3"/>
  </si>
  <si>
    <t xml:space="preserve">第2章 CASE16 新規大規模投資 </t>
    <rPh sb="0" eb="1">
      <t>ダイ</t>
    </rPh>
    <rPh sb="2" eb="3">
      <t>ショウ</t>
    </rPh>
    <rPh sb="11" eb="13">
      <t>シンキ</t>
    </rPh>
    <rPh sb="13" eb="16">
      <t>ダイキボ</t>
    </rPh>
    <rPh sb="16" eb="18">
      <t>トウシ</t>
    </rPh>
    <phoneticPr fontId="3"/>
  </si>
  <si>
    <t xml:space="preserve">第2章 CASE17 取替投資 </t>
    <rPh sb="0" eb="1">
      <t>ダイ</t>
    </rPh>
    <rPh sb="2" eb="3">
      <t>ショウ</t>
    </rPh>
    <rPh sb="11" eb="13">
      <t>トリカエ</t>
    </rPh>
    <rPh sb="13" eb="15">
      <t>トウシ</t>
    </rPh>
    <phoneticPr fontId="3"/>
  </si>
  <si>
    <t>B</t>
    <phoneticPr fontId="3"/>
  </si>
  <si>
    <t>CASE21</t>
    <phoneticPr fontId="3"/>
  </si>
  <si>
    <t>CASE20</t>
    <phoneticPr fontId="3"/>
  </si>
  <si>
    <t>WACC</t>
    <phoneticPr fontId="3"/>
  </si>
  <si>
    <t>他の方法</t>
    <rPh sb="0" eb="1">
      <t>ホカ</t>
    </rPh>
    <rPh sb="2" eb="4">
      <t>ホウホウ</t>
    </rPh>
    <phoneticPr fontId="3"/>
  </si>
  <si>
    <t>IRR、PI</t>
    <phoneticPr fontId="3"/>
  </si>
  <si>
    <t>CASE10</t>
    <phoneticPr fontId="3"/>
  </si>
  <si>
    <t>逆算(優劣分岐)</t>
    <rPh sb="0" eb="2">
      <t>ギャクサン</t>
    </rPh>
    <rPh sb="3" eb="5">
      <t>ユウレツ</t>
    </rPh>
    <rPh sb="5" eb="7">
      <t>ブンキ</t>
    </rPh>
    <phoneticPr fontId="3"/>
  </si>
  <si>
    <t>運転資本増減</t>
    <rPh sb="0" eb="2">
      <t>ウンテン</t>
    </rPh>
    <rPh sb="2" eb="4">
      <t>シホン</t>
    </rPh>
    <rPh sb="4" eb="6">
      <t>ゾウゲン</t>
    </rPh>
    <phoneticPr fontId="3"/>
  </si>
  <si>
    <t>TS、期末売却</t>
    <rPh sb="3" eb="5">
      <t>キマツ</t>
    </rPh>
    <rPh sb="5" eb="7">
      <t>バイキャク</t>
    </rPh>
    <phoneticPr fontId="3"/>
  </si>
  <si>
    <t>その他時間価値</t>
    <rPh sb="2" eb="3">
      <t>タ</t>
    </rPh>
    <rPh sb="3" eb="5">
      <t>ジカン</t>
    </rPh>
    <rPh sb="5" eb="7">
      <t>カチ</t>
    </rPh>
    <phoneticPr fontId="3"/>
  </si>
  <si>
    <t>⑦</t>
    <phoneticPr fontId="3"/>
  </si>
  <si>
    <t>S</t>
    <phoneticPr fontId="3"/>
  </si>
  <si>
    <t>CASE1</t>
    <phoneticPr fontId="3"/>
  </si>
  <si>
    <t>円/個までなら値引きOk。実際は繰り上げて3,884円と回答。</t>
    <rPh sb="0" eb="1">
      <t>エン</t>
    </rPh>
    <rPh sb="2" eb="3">
      <t>コ</t>
    </rPh>
    <rPh sb="7" eb="9">
      <t>ネビ</t>
    </rPh>
    <rPh sb="13" eb="15">
      <t>ジッサイ</t>
    </rPh>
    <rPh sb="16" eb="17">
      <t>ク</t>
    </rPh>
    <rPh sb="18" eb="19">
      <t>ア</t>
    </rPh>
    <rPh sb="26" eb="27">
      <t>エン</t>
    </rPh>
    <rPh sb="28" eb="30">
      <t>カイトウ</t>
    </rPh>
    <phoneticPr fontId="3"/>
  </si>
  <si>
    <t>円/個まで値引きに使える</t>
    <rPh sb="0" eb="1">
      <t>エン</t>
    </rPh>
    <rPh sb="2" eb="3">
      <t>コ</t>
    </rPh>
    <rPh sb="5" eb="7">
      <t>ネビ</t>
    </rPh>
    <rPh sb="9" eb="10">
      <t>ツカ</t>
    </rPh>
    <phoneticPr fontId="3"/>
  </si>
  <si>
    <t>←これを既存注文15,000個の値引き原資と考える</t>
    <rPh sb="4" eb="6">
      <t>キゾン</t>
    </rPh>
    <rPh sb="6" eb="8">
      <t>チュウモン</t>
    </rPh>
    <rPh sb="14" eb="15">
      <t>コ</t>
    </rPh>
    <rPh sb="16" eb="18">
      <t>ネビ</t>
    </rPh>
    <rPh sb="19" eb="21">
      <t>ゲンシ</t>
    </rPh>
    <rPh sb="22" eb="23">
      <t>カンガ</t>
    </rPh>
    <phoneticPr fontId="3"/>
  </si>
  <si>
    <t>特別注文による差額収益</t>
    <rPh sb="0" eb="2">
      <t>トクベツ</t>
    </rPh>
    <rPh sb="2" eb="4">
      <t>チュウモン</t>
    </rPh>
    <rPh sb="7" eb="9">
      <t>サガク</t>
    </rPh>
    <rPh sb="9" eb="11">
      <t>シュウエキ</t>
    </rPh>
    <phoneticPr fontId="3"/>
  </si>
  <si>
    <t xml:space="preserve">   先方との取引関係を考え、赤字にならない値引き額を返答するのが大人。</t>
    <rPh sb="3" eb="5">
      <t>センポウ</t>
    </rPh>
    <rPh sb="7" eb="9">
      <t>トリヒキ</t>
    </rPh>
    <rPh sb="9" eb="11">
      <t>カンケイ</t>
    </rPh>
    <rPh sb="12" eb="13">
      <t>カンガ</t>
    </rPh>
    <rPh sb="15" eb="17">
      <t>アカジ</t>
    </rPh>
    <rPh sb="22" eb="24">
      <t>ネビ</t>
    </rPh>
    <rPh sb="25" eb="26">
      <t>ガク</t>
    </rPh>
    <rPh sb="27" eb="29">
      <t>ヘントウ</t>
    </rPh>
    <rPh sb="33" eb="35">
      <t>オトナ</t>
    </rPh>
    <phoneticPr fontId="3"/>
  </si>
  <si>
    <t>→特別注文の打診に｢それでは赤字です。引き受けません｣と断ると、｢ではいくら値引きできる｣と食い下がられることがしばしば。</t>
    <rPh sb="1" eb="3">
      <t>トクベツ</t>
    </rPh>
    <rPh sb="3" eb="5">
      <t>チュウモン</t>
    </rPh>
    <rPh sb="6" eb="8">
      <t>ダシン</t>
    </rPh>
    <rPh sb="14" eb="16">
      <t>アカジ</t>
    </rPh>
    <rPh sb="19" eb="20">
      <t>ヒ</t>
    </rPh>
    <rPh sb="21" eb="22">
      <t>ウ</t>
    </rPh>
    <rPh sb="28" eb="29">
      <t>コトワ</t>
    </rPh>
    <rPh sb="38" eb="40">
      <t>ネビ</t>
    </rPh>
    <rPh sb="46" eb="47">
      <t>ク</t>
    </rPh>
    <rPh sb="48" eb="49">
      <t>サ</t>
    </rPh>
    <phoneticPr fontId="3"/>
  </si>
  <si>
    <t>値下げ余地の計算</t>
    <rPh sb="0" eb="2">
      <t>ネサ</t>
    </rPh>
    <rPh sb="3" eb="5">
      <t>ヨチ</t>
    </rPh>
    <rPh sb="6" eb="8">
      <t>ケイサン</t>
    </rPh>
    <phoneticPr fontId="3"/>
  </si>
  <si>
    <t>問3</t>
    <rPh sb="0" eb="1">
      <t>トイ</t>
    </rPh>
    <phoneticPr fontId="3"/>
  </si>
  <si>
    <t>差額収益＜差額費用。つまり赤字になるので引き受けない。</t>
    <rPh sb="0" eb="2">
      <t>サガク</t>
    </rPh>
    <rPh sb="2" eb="4">
      <t>シュウエキ</t>
    </rPh>
    <rPh sb="5" eb="7">
      <t>サガク</t>
    </rPh>
    <rPh sb="7" eb="9">
      <t>ヒヨウ</t>
    </rPh>
    <rPh sb="13" eb="15">
      <t>アカジ</t>
    </rPh>
    <rPh sb="20" eb="21">
      <t>ヒ</t>
    </rPh>
    <rPh sb="22" eb="23">
      <t>ウ</t>
    </rPh>
    <phoneticPr fontId="3"/>
  </si>
  <si>
    <t>V販売費</t>
    <rPh sb="1" eb="4">
      <t>ハンバイヒ</t>
    </rPh>
    <phoneticPr fontId="3"/>
  </si>
  <si>
    <t>V製造間接費</t>
    <rPh sb="1" eb="3">
      <t>セイゾウ</t>
    </rPh>
    <rPh sb="3" eb="5">
      <t>カンセツ</t>
    </rPh>
    <rPh sb="5" eb="6">
      <t>ヒ</t>
    </rPh>
    <phoneticPr fontId="3"/>
  </si>
  <si>
    <t>V労務費</t>
    <rPh sb="1" eb="4">
      <t>ロウムヒ</t>
    </rPh>
    <phoneticPr fontId="3"/>
  </si>
  <si>
    <t>V製造費</t>
    <rPh sb="1" eb="4">
      <t>セイゾウヒ</t>
    </rPh>
    <phoneticPr fontId="3"/>
  </si>
  <si>
    <t>値下げ</t>
    <rPh sb="0" eb="2">
      <t>ネサ</t>
    </rPh>
    <phoneticPr fontId="3"/>
  </si>
  <si>
    <t>差額費用</t>
    <rPh sb="0" eb="2">
      <t>サガク</t>
    </rPh>
    <rPh sb="2" eb="4">
      <t>ヒヨウ</t>
    </rPh>
    <phoneticPr fontId="3"/>
  </si>
  <si>
    <t>差額収益</t>
    <rPh sb="0" eb="2">
      <t>サガク</t>
    </rPh>
    <rPh sb="2" eb="4">
      <t>シュウエキ</t>
    </rPh>
    <phoneticPr fontId="3"/>
  </si>
  <si>
    <t>個数</t>
    <rPh sb="0" eb="2">
      <t>コスウ</t>
    </rPh>
    <phoneticPr fontId="3"/>
  </si>
  <si>
    <t>→ある販売をするために、別のどこかで値引きが起きる。これを限界利益の総額で計算すると大変なので、差額を使う手抜きの仕方を覚える。</t>
    <rPh sb="3" eb="5">
      <t>ハンバイ</t>
    </rPh>
    <rPh sb="12" eb="13">
      <t>ベツ</t>
    </rPh>
    <rPh sb="18" eb="20">
      <t>ネビ</t>
    </rPh>
    <rPh sb="22" eb="23">
      <t>オ</t>
    </rPh>
    <rPh sb="29" eb="31">
      <t>ゲンカイ</t>
    </rPh>
    <rPh sb="31" eb="33">
      <t>リエキ</t>
    </rPh>
    <rPh sb="34" eb="36">
      <t>ソウガク</t>
    </rPh>
    <rPh sb="37" eb="39">
      <t>ケイサン</t>
    </rPh>
    <rPh sb="42" eb="44">
      <t>タイヘン</t>
    </rPh>
    <rPh sb="48" eb="50">
      <t>サガク</t>
    </rPh>
    <rPh sb="51" eb="52">
      <t>ツカ</t>
    </rPh>
    <rPh sb="53" eb="55">
      <t>テヌ</t>
    </rPh>
    <rPh sb="57" eb="59">
      <t>シカタ</t>
    </rPh>
    <rPh sb="60" eb="61">
      <t>オボ</t>
    </rPh>
    <phoneticPr fontId="3"/>
  </si>
  <si>
    <t>特別注文の引受可否</t>
    <rPh sb="0" eb="2">
      <t>トクベツ</t>
    </rPh>
    <rPh sb="2" eb="4">
      <t>チュウモン</t>
    </rPh>
    <rPh sb="5" eb="7">
      <t>ヒキウケ</t>
    </rPh>
    <rPh sb="7" eb="9">
      <t>カヒ</t>
    </rPh>
    <phoneticPr fontId="3"/>
  </si>
  <si>
    <t>問2</t>
    <rPh sb="0" eb="1">
      <t>トイ</t>
    </rPh>
    <phoneticPr fontId="3"/>
  </si>
  <si>
    <t>円 なので引き受ける</t>
    <rPh sb="0" eb="1">
      <t>エン</t>
    </rPh>
    <rPh sb="5" eb="6">
      <t>ヒ</t>
    </rPh>
    <rPh sb="7" eb="8">
      <t>ウ</t>
    </rPh>
    <phoneticPr fontId="3"/>
  </si>
  <si>
    <t>円 ＞</t>
    <rPh sb="0" eb="1">
      <t>エン</t>
    </rPh>
    <phoneticPr fontId="3"/>
  </si>
  <si>
    <t>→販売価格(差額収益)3,000円が、変動販売原価(差額費用)を上回れば引受けOK。</t>
    <rPh sb="1" eb="3">
      <t>ハンバイ</t>
    </rPh>
    <rPh sb="3" eb="5">
      <t>カカク</t>
    </rPh>
    <rPh sb="6" eb="8">
      <t>サガク</t>
    </rPh>
    <rPh sb="8" eb="10">
      <t>シュウエキ</t>
    </rPh>
    <rPh sb="16" eb="17">
      <t>エン</t>
    </rPh>
    <rPh sb="19" eb="21">
      <t>ヘンドウ</t>
    </rPh>
    <rPh sb="21" eb="23">
      <t>ハンバイ</t>
    </rPh>
    <rPh sb="23" eb="25">
      <t>ゲンカ</t>
    </rPh>
    <rPh sb="26" eb="28">
      <t>サガク</t>
    </rPh>
    <rPh sb="28" eb="30">
      <t>ヒヨウ</t>
    </rPh>
    <rPh sb="32" eb="34">
      <t>ウワマワ</t>
    </rPh>
    <rPh sb="36" eb="38">
      <t>ヒキウケ</t>
    </rPh>
    <phoneticPr fontId="3"/>
  </si>
  <si>
    <t>問1</t>
    <rPh sb="0" eb="1">
      <t>トイ</t>
    </rPh>
    <phoneticPr fontId="3"/>
  </si>
  <si>
    <t>F販売費</t>
    <rPh sb="1" eb="4">
      <t>ハンバイヒ</t>
    </rPh>
    <phoneticPr fontId="3"/>
  </si>
  <si>
    <t>F製造間接費</t>
    <rPh sb="1" eb="3">
      <t>セイゾウ</t>
    </rPh>
    <rPh sb="3" eb="5">
      <t>カンセツ</t>
    </rPh>
    <rPh sb="5" eb="6">
      <t>ヒ</t>
    </rPh>
    <phoneticPr fontId="3"/>
  </si>
  <si>
    <t>限界利益</t>
    <rPh sb="0" eb="2">
      <t>ゲンカイ</t>
    </rPh>
    <rPh sb="2" eb="4">
      <t>リエキ</t>
    </rPh>
    <phoneticPr fontId="3"/>
  </si>
  <si>
    <t xml:space="preserve"> 〃  変動分</t>
    <rPh sb="4" eb="6">
      <t>ヘンドウ</t>
    </rPh>
    <rPh sb="6" eb="7">
      <t>ブン</t>
    </rPh>
    <phoneticPr fontId="3"/>
  </si>
  <si>
    <t>円/個</t>
    <rPh sb="0" eb="1">
      <t>エン</t>
    </rPh>
    <rPh sb="2" eb="3">
      <t>コ</t>
    </rPh>
    <phoneticPr fontId="3"/>
  </si>
  <si>
    <t>予算(標準原価)に含まれる固定分</t>
    <rPh sb="0" eb="2">
      <t>ヨサン</t>
    </rPh>
    <rPh sb="3" eb="5">
      <t>ヒョウジュン</t>
    </rPh>
    <rPh sb="5" eb="7">
      <t>ゲンカ</t>
    </rPh>
    <rPh sb="9" eb="10">
      <t>フク</t>
    </rPh>
    <rPh sb="13" eb="15">
      <t>コテイ</t>
    </rPh>
    <rPh sb="15" eb="16">
      <t>ブン</t>
    </rPh>
    <phoneticPr fontId="3"/>
  </si>
  <si>
    <t>h</t>
    <phoneticPr fontId="3"/>
  </si>
  <si>
    <t>期待実際操業度</t>
    <rPh sb="0" eb="2">
      <t>キタイ</t>
    </rPh>
    <rPh sb="2" eb="4">
      <t>ジッサイ</t>
    </rPh>
    <rPh sb="4" eb="6">
      <t>ソウギョウ</t>
    </rPh>
    <rPh sb="6" eb="7">
      <t>ド</t>
    </rPh>
    <phoneticPr fontId="3"/>
  </si>
  <si>
    <t>円</t>
    <rPh sb="0" eb="1">
      <t>エン</t>
    </rPh>
    <phoneticPr fontId="3"/>
  </si>
  <si>
    <t>固定製造間接費予算</t>
    <rPh sb="0" eb="2">
      <t>コテイ</t>
    </rPh>
    <rPh sb="2" eb="4">
      <t>セイゾウ</t>
    </rPh>
    <rPh sb="4" eb="6">
      <t>カンセツ</t>
    </rPh>
    <rPh sb="6" eb="7">
      <t>ヒ</t>
    </rPh>
    <rPh sb="7" eb="9">
      <t>ヨサン</t>
    </rPh>
    <phoneticPr fontId="3"/>
  </si>
  <si>
    <t>資料3による追加変動費</t>
    <rPh sb="0" eb="2">
      <t>シリョウ</t>
    </rPh>
    <rPh sb="6" eb="8">
      <t>ツイカ</t>
    </rPh>
    <rPh sb="8" eb="10">
      <t>ヘンドウ</t>
    </rPh>
    <rPh sb="10" eb="11">
      <t>ヒ</t>
    </rPh>
    <phoneticPr fontId="3"/>
  </si>
  <si>
    <t>V材料費</t>
    <rPh sb="1" eb="4">
      <t>ザイリョウヒ</t>
    </rPh>
    <phoneticPr fontId="3"/>
  </si>
  <si>
    <t>販売単価</t>
    <rPh sb="0" eb="2">
      <t>ハンバイ</t>
    </rPh>
    <rPh sb="2" eb="4">
      <t>タンカ</t>
    </rPh>
    <phoneticPr fontId="3"/>
  </si>
  <si>
    <t>製造間接費の固変分解 (ここは簿記論点)</t>
    <rPh sb="0" eb="2">
      <t>セイゾウ</t>
    </rPh>
    <rPh sb="2" eb="4">
      <t>カンセツ</t>
    </rPh>
    <rPh sb="4" eb="5">
      <t>ヒ</t>
    </rPh>
    <rPh sb="6" eb="7">
      <t>モトヨリ</t>
    </rPh>
    <rPh sb="7" eb="8">
      <t>ヘン</t>
    </rPh>
    <rPh sb="8" eb="10">
      <t>ブンカイ</t>
    </rPh>
    <rPh sb="15" eb="17">
      <t>ボキ</t>
    </rPh>
    <rPh sb="17" eb="19">
      <t>ロンテン</t>
    </rPh>
    <phoneticPr fontId="3"/>
  </si>
  <si>
    <t>標準原価/個</t>
    <rPh sb="0" eb="2">
      <t>ヒョウジュン</t>
    </rPh>
    <rPh sb="2" eb="4">
      <t>ゲンカ</t>
    </rPh>
    <rPh sb="5" eb="6">
      <t>コ</t>
    </rPh>
    <phoneticPr fontId="3"/>
  </si>
  <si>
    <t>消費量</t>
    <rPh sb="0" eb="3">
      <t>ショウヒリョウ</t>
    </rPh>
    <phoneticPr fontId="3"/>
  </si>
  <si>
    <t>製品A</t>
    <rPh sb="0" eb="2">
      <t>セイヒン</t>
    </rPh>
    <phoneticPr fontId="3"/>
  </si>
  <si>
    <t>F・・固定Fixed を指す</t>
    <rPh sb="3" eb="5">
      <t>コテイ</t>
    </rPh>
    <rPh sb="12" eb="13">
      <t>サ</t>
    </rPh>
    <phoneticPr fontId="3"/>
  </si>
  <si>
    <t>V・・変動Variable</t>
    <rPh sb="3" eb="5">
      <t>ヘンドウ</t>
    </rPh>
    <phoneticPr fontId="3"/>
  </si>
  <si>
    <t>【資料(標準原価カード)の整理】 ←文章を読み解いて作ろうとすると時間がかかる。使うはずの条件を先に思い出し、文章から拾う形にすると早い。</t>
    <rPh sb="1" eb="3">
      <t>シリョウ</t>
    </rPh>
    <rPh sb="4" eb="6">
      <t>ヒョウジュン</t>
    </rPh>
    <rPh sb="6" eb="8">
      <t>ゲンカ</t>
    </rPh>
    <rPh sb="13" eb="15">
      <t>セイリ</t>
    </rPh>
    <rPh sb="18" eb="20">
      <t>ブンショウ</t>
    </rPh>
    <rPh sb="21" eb="22">
      <t>ヨ</t>
    </rPh>
    <rPh sb="23" eb="24">
      <t>ト</t>
    </rPh>
    <rPh sb="26" eb="27">
      <t>ツク</t>
    </rPh>
    <rPh sb="33" eb="35">
      <t>ジカン</t>
    </rPh>
    <rPh sb="40" eb="41">
      <t>ツカ</t>
    </rPh>
    <rPh sb="45" eb="47">
      <t>ジョウケン</t>
    </rPh>
    <rPh sb="48" eb="49">
      <t>サキ</t>
    </rPh>
    <rPh sb="50" eb="51">
      <t>オモ</t>
    </rPh>
    <rPh sb="52" eb="53">
      <t>ダ</t>
    </rPh>
    <rPh sb="55" eb="57">
      <t>ブンショウ</t>
    </rPh>
    <rPh sb="59" eb="60">
      <t>ヒロ</t>
    </rPh>
    <rPh sb="61" eb="62">
      <t>カタチ</t>
    </rPh>
    <rPh sb="66" eb="67">
      <t>ハヤ</t>
    </rPh>
    <phoneticPr fontId="3"/>
  </si>
  <si>
    <t>・当問は計算条件が与えられ、｢差額原価収益｣がプラス・マイナスどちらかを判断させる基本問題。計算パターンとして、標準原価計算の簡易PLを作る練習。</t>
    <rPh sb="1" eb="2">
      <t>トウ</t>
    </rPh>
    <rPh sb="2" eb="3">
      <t>モン</t>
    </rPh>
    <rPh sb="4" eb="6">
      <t>ケイサン</t>
    </rPh>
    <rPh sb="6" eb="8">
      <t>ジョウケン</t>
    </rPh>
    <rPh sb="9" eb="10">
      <t>アタ</t>
    </rPh>
    <rPh sb="15" eb="17">
      <t>サガク</t>
    </rPh>
    <rPh sb="17" eb="19">
      <t>ゲンカ</t>
    </rPh>
    <rPh sb="19" eb="21">
      <t>シュウエキ</t>
    </rPh>
    <rPh sb="36" eb="38">
      <t>ハンダン</t>
    </rPh>
    <rPh sb="41" eb="43">
      <t>キホン</t>
    </rPh>
    <rPh sb="43" eb="45">
      <t>モンダイ</t>
    </rPh>
    <rPh sb="46" eb="48">
      <t>ケイサン</t>
    </rPh>
    <rPh sb="56" eb="58">
      <t>ヒョウジュン</t>
    </rPh>
    <rPh sb="58" eb="60">
      <t>ゲンカ</t>
    </rPh>
    <rPh sb="60" eb="62">
      <t>ケイサン</t>
    </rPh>
    <rPh sb="63" eb="65">
      <t>カンイ</t>
    </rPh>
    <rPh sb="68" eb="69">
      <t>ツク</t>
    </rPh>
    <rPh sb="70" eb="72">
      <t>レンシュウ</t>
    </rPh>
    <phoneticPr fontId="3"/>
  </si>
  <si>
    <t>・学問でなく、生産現場で実際に起きるシーンなので、出題パターンは無数に作れる。そこで問題を何回も解き直し、自分が勝てる計算パターン(計算のツボ)にどう持ち込むかまでの勝負。</t>
    <rPh sb="1" eb="3">
      <t>ガクモン</t>
    </rPh>
    <rPh sb="7" eb="9">
      <t>セイサン</t>
    </rPh>
    <rPh sb="9" eb="11">
      <t>ゲンバ</t>
    </rPh>
    <rPh sb="12" eb="14">
      <t>ジッサイ</t>
    </rPh>
    <rPh sb="15" eb="16">
      <t>オ</t>
    </rPh>
    <rPh sb="25" eb="27">
      <t>シュツダイ</t>
    </rPh>
    <rPh sb="32" eb="34">
      <t>ムスウ</t>
    </rPh>
    <rPh sb="35" eb="36">
      <t>ツク</t>
    </rPh>
    <rPh sb="42" eb="44">
      <t>モンダイ</t>
    </rPh>
    <rPh sb="45" eb="47">
      <t>ナンカイ</t>
    </rPh>
    <rPh sb="48" eb="49">
      <t>ト</t>
    </rPh>
    <rPh sb="50" eb="51">
      <t>ナオ</t>
    </rPh>
    <rPh sb="53" eb="55">
      <t>ジブン</t>
    </rPh>
    <rPh sb="56" eb="57">
      <t>カ</t>
    </rPh>
    <rPh sb="59" eb="61">
      <t>ケイサン</t>
    </rPh>
    <rPh sb="66" eb="68">
      <t>ケイサン</t>
    </rPh>
    <rPh sb="75" eb="76">
      <t>モ</t>
    </rPh>
    <rPh sb="77" eb="78">
      <t>コ</t>
    </rPh>
    <rPh sb="83" eb="85">
      <t>ショウブ</t>
    </rPh>
    <phoneticPr fontId="3"/>
  </si>
  <si>
    <t>・(業務的)意思決定会計の総合問題は、生産現場の儲かる・儲からない、またどうすれば儲かるかを限界利益を使って求める。そのため原価計算知識で文章から計算条件を読み取る能力がまず問われる。</t>
    <rPh sb="2" eb="5">
      <t>ギョウムテキ</t>
    </rPh>
    <rPh sb="6" eb="8">
      <t>イシ</t>
    </rPh>
    <rPh sb="8" eb="10">
      <t>ケッテイ</t>
    </rPh>
    <rPh sb="10" eb="12">
      <t>カイケイ</t>
    </rPh>
    <rPh sb="13" eb="15">
      <t>ソウゴウ</t>
    </rPh>
    <rPh sb="15" eb="17">
      <t>モンダイ</t>
    </rPh>
    <rPh sb="19" eb="21">
      <t>セイサン</t>
    </rPh>
    <rPh sb="21" eb="23">
      <t>ゲンバ</t>
    </rPh>
    <rPh sb="24" eb="25">
      <t>モウ</t>
    </rPh>
    <rPh sb="28" eb="29">
      <t>モウ</t>
    </rPh>
    <rPh sb="41" eb="42">
      <t>モウ</t>
    </rPh>
    <rPh sb="46" eb="48">
      <t>ゲンカイ</t>
    </rPh>
    <rPh sb="48" eb="50">
      <t>リエキ</t>
    </rPh>
    <rPh sb="51" eb="52">
      <t>ツカ</t>
    </rPh>
    <rPh sb="54" eb="55">
      <t>モト</t>
    </rPh>
    <rPh sb="62" eb="64">
      <t>ゲンカ</t>
    </rPh>
    <rPh sb="64" eb="66">
      <t>ケイサン</t>
    </rPh>
    <rPh sb="66" eb="68">
      <t>チシキ</t>
    </rPh>
    <rPh sb="69" eb="71">
      <t>ブンショウ</t>
    </rPh>
    <rPh sb="73" eb="75">
      <t>ケイサン</t>
    </rPh>
    <rPh sb="75" eb="77">
      <t>ジョウケン</t>
    </rPh>
    <rPh sb="78" eb="79">
      <t>ヨ</t>
    </rPh>
    <rPh sb="80" eb="81">
      <t>ト</t>
    </rPh>
    <rPh sb="82" eb="84">
      <t>ノウリョク</t>
    </rPh>
    <rPh sb="87" eb="88">
      <t>ト</t>
    </rPh>
    <phoneticPr fontId="3"/>
  </si>
  <si>
    <t>問題①</t>
    <rPh sb="0" eb="2">
      <t>モンダイ</t>
    </rPh>
    <phoneticPr fontId="3"/>
  </si>
  <si>
    <t>→PLへ</t>
    <phoneticPr fontId="3"/>
  </si>
  <si>
    <t>増加額</t>
    <rPh sb="0" eb="2">
      <t>ゾウカ</t>
    </rPh>
    <rPh sb="2" eb="3">
      <t>ガク</t>
    </rPh>
    <phoneticPr fontId="3"/>
  </si>
  <si>
    <t>h</t>
    <phoneticPr fontId="3"/>
  </si>
  <si>
    <t>対象時間</t>
    <rPh sb="0" eb="2">
      <t>タイショウ</t>
    </rPh>
    <rPh sb="2" eb="4">
      <t>ジカン</t>
    </rPh>
    <phoneticPr fontId="3"/>
  </si>
  <si>
    <t>円/h</t>
    <rPh sb="0" eb="1">
      <t>エン</t>
    </rPh>
    <phoneticPr fontId="3"/>
  </si>
  <si>
    <t>割増単価</t>
    <rPh sb="0" eb="2">
      <t>ワリマシ</t>
    </rPh>
    <rPh sb="2" eb="4">
      <t>タンカ</t>
    </rPh>
    <phoneticPr fontId="3"/>
  </si>
  <si>
    <t>(追加資料2-1) 割増賃金によるV労務費の増加額</t>
    <rPh sb="1" eb="3">
      <t>ツイカ</t>
    </rPh>
    <rPh sb="3" eb="5">
      <t>シリョウ</t>
    </rPh>
    <rPh sb="10" eb="12">
      <t>ワリマシ</t>
    </rPh>
    <rPh sb="12" eb="14">
      <t>チンギン</t>
    </rPh>
    <rPh sb="18" eb="21">
      <t>ロウムヒ</t>
    </rPh>
    <rPh sb="22" eb="24">
      <t>ゾウカ</t>
    </rPh>
    <rPh sb="24" eb="25">
      <t>ガク</t>
    </rPh>
    <phoneticPr fontId="3"/>
  </si>
  <si>
    <t>一番トクな2,500kg単位で発注する →PLへ</t>
    <rPh sb="0" eb="2">
      <t>イチバン</t>
    </rPh>
    <rPh sb="12" eb="14">
      <t>タンイ</t>
    </rPh>
    <rPh sb="15" eb="17">
      <t>ハッチュウ</t>
    </rPh>
    <phoneticPr fontId="3"/>
  </si>
  <si>
    <t>2000〃</t>
    <phoneticPr fontId="3"/>
  </si>
  <si>
    <t>1500〃</t>
    <phoneticPr fontId="3"/>
  </si>
  <si>
    <t>500kgずつ</t>
    <phoneticPr fontId="3"/>
  </si>
  <si>
    <t>どこが一番得か</t>
    <rPh sb="3" eb="5">
      <t>イチバン</t>
    </rPh>
    <rPh sb="5" eb="6">
      <t>トク</t>
    </rPh>
    <phoneticPr fontId="3"/>
  </si>
  <si>
    <t>在庫費用(年)</t>
    <rPh sb="0" eb="2">
      <t>ザイコ</t>
    </rPh>
    <rPh sb="2" eb="4">
      <t>ヒヨウ</t>
    </rPh>
    <rPh sb="5" eb="6">
      <t>ネン</t>
    </rPh>
    <phoneticPr fontId="3"/>
  </si>
  <si>
    <t>値引額(年)</t>
    <rPh sb="0" eb="2">
      <t>ネビ</t>
    </rPh>
    <rPh sb="2" eb="3">
      <t>ガク</t>
    </rPh>
    <rPh sb="4" eb="5">
      <t>ネン</t>
    </rPh>
    <phoneticPr fontId="3"/>
  </si>
  <si>
    <t>材料の買い方</t>
    <rPh sb="0" eb="2">
      <t>ザイリョウ</t>
    </rPh>
    <rPh sb="3" eb="4">
      <t>カ</t>
    </rPh>
    <rPh sb="5" eb="6">
      <t>カタ</t>
    </rPh>
    <phoneticPr fontId="3"/>
  </si>
  <si>
    <t>(注1)数量値引、在庫費用の損得計算</t>
    <rPh sb="1" eb="2">
      <t>チュウ</t>
    </rPh>
    <rPh sb="4" eb="6">
      <t>スウリョウ</t>
    </rPh>
    <rPh sb="6" eb="8">
      <t>ネビ</t>
    </rPh>
    <rPh sb="9" eb="11">
      <t>ザイコ</t>
    </rPh>
    <rPh sb="11" eb="13">
      <t>ヒヨウ</t>
    </rPh>
    <rPh sb="14" eb="16">
      <t>ソントク</t>
    </rPh>
    <rPh sb="16" eb="18">
      <t>ケイサン</t>
    </rPh>
    <phoneticPr fontId="3"/>
  </si>
  <si>
    <t>円差額収益が大きいため、この注文を(泣く泣く)引き受ける。</t>
    <rPh sb="0" eb="1">
      <t>エン</t>
    </rPh>
    <rPh sb="1" eb="3">
      <t>サガク</t>
    </rPh>
    <rPh sb="3" eb="5">
      <t>シュウエキ</t>
    </rPh>
    <rPh sb="6" eb="7">
      <t>オオ</t>
    </rPh>
    <rPh sb="14" eb="16">
      <t>チュウモン</t>
    </rPh>
    <rPh sb="18" eb="19">
      <t>ナ</t>
    </rPh>
    <rPh sb="20" eb="21">
      <t>ナ</t>
    </rPh>
    <rPh sb="23" eb="24">
      <t>ヒ</t>
    </rPh>
    <rPh sb="25" eb="26">
      <t>ウ</t>
    </rPh>
    <phoneticPr fontId="3"/>
  </si>
  <si>
    <t>↑ここも損になるが、特別注文を断る場合に比べ、</t>
    <rPh sb="4" eb="5">
      <t>ソン</t>
    </rPh>
    <rPh sb="10" eb="12">
      <t>トクベツ</t>
    </rPh>
    <rPh sb="12" eb="14">
      <t>チュウモン</t>
    </rPh>
    <rPh sb="15" eb="16">
      <t>コトワ</t>
    </rPh>
    <rPh sb="17" eb="19">
      <t>バアイ</t>
    </rPh>
    <rPh sb="20" eb="21">
      <t>クラ</t>
    </rPh>
    <phoneticPr fontId="3"/>
  </si>
  <si>
    <t>↑ここは損になる</t>
    <rPh sb="4" eb="5">
      <t>ソン</t>
    </rPh>
    <phoneticPr fontId="3"/>
  </si>
  <si>
    <t>営業利益</t>
    <rPh sb="0" eb="2">
      <t>エイギョウ</t>
    </rPh>
    <rPh sb="2" eb="4">
      <t>リエキ</t>
    </rPh>
    <phoneticPr fontId="3"/>
  </si>
  <si>
    <t>(追加資料2-2)</t>
    <rPh sb="1" eb="3">
      <t>ツイカ</t>
    </rPh>
    <rPh sb="3" eb="5">
      <t>シリョウ</t>
    </rPh>
    <phoneticPr fontId="3"/>
  </si>
  <si>
    <t xml:space="preserve">  貢献利益</t>
    <rPh sb="2" eb="4">
      <t>コウケン</t>
    </rPh>
    <rPh sb="4" eb="6">
      <t>リエキ</t>
    </rPh>
    <phoneticPr fontId="3"/>
  </si>
  <si>
    <t xml:space="preserve">  変動製造マージン</t>
    <rPh sb="2" eb="4">
      <t>ヘンドウ</t>
    </rPh>
    <rPh sb="4" eb="6">
      <t>セイゾウ</t>
    </rPh>
    <phoneticPr fontId="3"/>
  </si>
  <si>
    <t>(追加資料2-1)</t>
    <rPh sb="1" eb="3">
      <t>ツイカ</t>
    </rPh>
    <rPh sb="3" eb="5">
      <t>シリョウ</t>
    </rPh>
    <phoneticPr fontId="3"/>
  </si>
  <si>
    <t>(注1)</t>
    <rPh sb="1" eb="2">
      <t>チュウ</t>
    </rPh>
    <phoneticPr fontId="3"/>
  </si>
  <si>
    <t xml:space="preserve">  売上の値引き→</t>
    <rPh sb="2" eb="4">
      <t>ウリアゲ</t>
    </rPh>
    <rPh sb="5" eb="7">
      <t>ネビ</t>
    </rPh>
    <phoneticPr fontId="3"/>
  </si>
  <si>
    <t>売上高</t>
    <rPh sb="0" eb="2">
      <t>ウリアゲ</t>
    </rPh>
    <rPh sb="2" eb="3">
      <t>ダカ</t>
    </rPh>
    <phoneticPr fontId="3"/>
  </si>
  <si>
    <t>差額原価</t>
    <rPh sb="0" eb="2">
      <t>サガク</t>
    </rPh>
    <rPh sb="2" eb="4">
      <t>ゲンカ</t>
    </rPh>
    <phoneticPr fontId="3"/>
  </si>
  <si>
    <t>標準単価</t>
    <rPh sb="0" eb="2">
      <t>ヒョウジュン</t>
    </rPh>
    <rPh sb="2" eb="4">
      <t>タンカ</t>
    </rPh>
    <phoneticPr fontId="3"/>
  </si>
  <si>
    <t>所要量</t>
    <rPh sb="0" eb="2">
      <t>ショヨウ</t>
    </rPh>
    <rPh sb="2" eb="3">
      <t>リョウ</t>
    </rPh>
    <phoneticPr fontId="3"/>
  </si>
  <si>
    <t>引き受ける場合</t>
    <rPh sb="0" eb="1">
      <t>ヒ</t>
    </rPh>
    <rPh sb="2" eb="3">
      <t>ウ</t>
    </rPh>
    <rPh sb="5" eb="7">
      <t>バアイ</t>
    </rPh>
    <phoneticPr fontId="3"/>
  </si>
  <si>
    <t>断る場合</t>
    <rPh sb="0" eb="1">
      <t>コトワ</t>
    </rPh>
    <rPh sb="2" eb="4">
      <t>バアイ</t>
    </rPh>
    <phoneticPr fontId="3"/>
  </si>
  <si>
    <t>問1 予想PL作成</t>
    <rPh sb="0" eb="1">
      <t>トイ</t>
    </rPh>
    <rPh sb="3" eb="5">
      <t>ヨソウ</t>
    </rPh>
    <rPh sb="7" eb="9">
      <t>サクセイ</t>
    </rPh>
    <phoneticPr fontId="3"/>
  </si>
  <si>
    <t>・応用を問う当問では、問1→2につれて計算条件が複雑になる。簿記論点を組み合わせるといくらでも複雑になるので、基本レベルの計算で当たる｢断る場合｣の営業利益までを当てる。</t>
    <rPh sb="1" eb="3">
      <t>オウヨウ</t>
    </rPh>
    <rPh sb="4" eb="5">
      <t>ト</t>
    </rPh>
    <rPh sb="6" eb="7">
      <t>トウ</t>
    </rPh>
    <rPh sb="7" eb="8">
      <t>モン</t>
    </rPh>
    <rPh sb="11" eb="12">
      <t>トイ</t>
    </rPh>
    <rPh sb="19" eb="21">
      <t>ケイサン</t>
    </rPh>
    <rPh sb="21" eb="23">
      <t>ジョウケン</t>
    </rPh>
    <rPh sb="24" eb="26">
      <t>フクザツ</t>
    </rPh>
    <rPh sb="30" eb="32">
      <t>ボキ</t>
    </rPh>
    <rPh sb="32" eb="34">
      <t>ロンテン</t>
    </rPh>
    <rPh sb="35" eb="36">
      <t>ク</t>
    </rPh>
    <rPh sb="37" eb="38">
      <t>ア</t>
    </rPh>
    <rPh sb="47" eb="49">
      <t>フクザツ</t>
    </rPh>
    <rPh sb="55" eb="57">
      <t>キホン</t>
    </rPh>
    <rPh sb="61" eb="63">
      <t>ケイサン</t>
    </rPh>
    <rPh sb="64" eb="65">
      <t>ア</t>
    </rPh>
    <rPh sb="68" eb="69">
      <t>コトワ</t>
    </rPh>
    <rPh sb="70" eb="72">
      <t>バアイ</t>
    </rPh>
    <rPh sb="74" eb="76">
      <t>エイギョウ</t>
    </rPh>
    <rPh sb="76" eb="78">
      <t>リエキ</t>
    </rPh>
    <rPh sb="81" eb="82">
      <t>ア</t>
    </rPh>
    <phoneticPr fontId="3"/>
  </si>
  <si>
    <t>・BS・PL作成能力を問わない診断士試験では、｢損益計算書作成｣と言われるとビビる。でも意思決定会計で問われるのは｢直接原価計算のPL｣なので、割り切ってパターンで覚えて良い。</t>
    <rPh sb="44" eb="46">
      <t>イシ</t>
    </rPh>
    <rPh sb="46" eb="48">
      <t>ケッテイ</t>
    </rPh>
    <rPh sb="48" eb="50">
      <t>カイケイ</t>
    </rPh>
    <rPh sb="51" eb="52">
      <t>ト</t>
    </rPh>
    <rPh sb="58" eb="60">
      <t>チョクセツ</t>
    </rPh>
    <rPh sb="60" eb="62">
      <t>ゲンカ</t>
    </rPh>
    <rPh sb="62" eb="64">
      <t>ケイサン</t>
    </rPh>
    <rPh sb="72" eb="73">
      <t>ワ</t>
    </rPh>
    <rPh sb="74" eb="75">
      <t>キ</t>
    </rPh>
    <rPh sb="82" eb="83">
      <t>オボ</t>
    </rPh>
    <rPh sb="85" eb="86">
      <t>ヨ</t>
    </rPh>
    <phoneticPr fontId="3"/>
  </si>
  <si>
    <t>問題②</t>
    <rPh sb="0" eb="2">
      <t>モンダイ</t>
    </rPh>
    <phoneticPr fontId="3"/>
  </si>
  <si>
    <t>個以上なら内製が有利</t>
    <rPh sb="0" eb="1">
      <t>コ</t>
    </rPh>
    <rPh sb="1" eb="3">
      <t>イジョウ</t>
    </rPh>
    <rPh sb="5" eb="7">
      <t>ナイセイ</t>
    </rPh>
    <rPh sb="8" eb="10">
      <t>ユウリ</t>
    </rPh>
    <phoneticPr fontId="3"/>
  </si>
  <si>
    <t>F製造間接費(調整後)</t>
    <rPh sb="1" eb="3">
      <t>セイゾウ</t>
    </rPh>
    <rPh sb="3" eb="5">
      <t>カンセツ</t>
    </rPh>
    <rPh sb="5" eb="6">
      <t>ヒ</t>
    </rPh>
    <rPh sb="7" eb="10">
      <t>チョウセイゴ</t>
    </rPh>
    <phoneticPr fontId="3"/>
  </si>
  <si>
    <t>・・③6,000台×50円分が問3より割高に</t>
    <rPh sb="8" eb="9">
      <t>ダイ</t>
    </rPh>
    <rPh sb="12" eb="13">
      <t>エン</t>
    </rPh>
    <rPh sb="13" eb="14">
      <t>ブン</t>
    </rPh>
    <rPh sb="15" eb="16">
      <t>トイ</t>
    </rPh>
    <rPh sb="19" eb="21">
      <t>ワリダカ</t>
    </rPh>
    <phoneticPr fontId="3"/>
  </si>
  <si>
    <t>・・②賃料増える</t>
    <rPh sb="3" eb="5">
      <t>チンリョウ</t>
    </rPh>
    <rPh sb="5" eb="6">
      <t>フ</t>
    </rPh>
    <phoneticPr fontId="3"/>
  </si>
  <si>
    <t>調整(機会原価等)</t>
    <rPh sb="0" eb="2">
      <t>チョウセイ</t>
    </rPh>
    <rPh sb="3" eb="5">
      <t>キカイ</t>
    </rPh>
    <rPh sb="5" eb="7">
      <t>ゲンカ</t>
    </rPh>
    <rPh sb="7" eb="8">
      <t>トウ</t>
    </rPh>
    <phoneticPr fontId="3"/>
  </si>
  <si>
    <t xml:space="preserve">   差額原価や機会費用の±の捉え方は多様なので、自分なりにパターンを決めても良し、その場で±をふんわり考えても良し。</t>
    <rPh sb="3" eb="5">
      <t>サガク</t>
    </rPh>
    <rPh sb="5" eb="7">
      <t>ゲンカ</t>
    </rPh>
    <rPh sb="8" eb="10">
      <t>キカイ</t>
    </rPh>
    <rPh sb="10" eb="12">
      <t>ヒヨウ</t>
    </rPh>
    <rPh sb="15" eb="16">
      <t>トラ</t>
    </rPh>
    <rPh sb="17" eb="18">
      <t>カタ</t>
    </rPh>
    <rPh sb="19" eb="21">
      <t>タヨウ</t>
    </rPh>
    <rPh sb="25" eb="27">
      <t>ジブン</t>
    </rPh>
    <rPh sb="35" eb="36">
      <t>キ</t>
    </rPh>
    <rPh sb="39" eb="40">
      <t>ヨ</t>
    </rPh>
    <rPh sb="44" eb="45">
      <t>バ</t>
    </rPh>
    <rPh sb="52" eb="53">
      <t>カンガ</t>
    </rPh>
    <rPh sb="56" eb="57">
      <t>ヨ</t>
    </rPh>
    <phoneticPr fontId="3"/>
  </si>
  <si>
    <t>・・ごちゃごちゃ書いてあるが、②賃借料削減、③売り込み価格の変化が方程式にどう影響するか、±を間違えなければ解ける。</t>
    <rPh sb="8" eb="9">
      <t>カ</t>
    </rPh>
    <rPh sb="16" eb="19">
      <t>チンシャクリョウ</t>
    </rPh>
    <rPh sb="19" eb="21">
      <t>サクゲン</t>
    </rPh>
    <rPh sb="23" eb="24">
      <t>ウ</t>
    </rPh>
    <rPh sb="25" eb="26">
      <t>コ</t>
    </rPh>
    <rPh sb="27" eb="29">
      <t>カカク</t>
    </rPh>
    <rPh sb="30" eb="32">
      <t>ヘンカ</t>
    </rPh>
    <rPh sb="33" eb="36">
      <t>ホウテイシキ</t>
    </rPh>
    <rPh sb="39" eb="41">
      <t>エイキョウ</t>
    </rPh>
    <rPh sb="47" eb="49">
      <t>マチガ</t>
    </rPh>
    <rPh sb="54" eb="55">
      <t>ト</t>
    </rPh>
    <phoneticPr fontId="3"/>
  </si>
  <si>
    <t>問4 感度分析</t>
    <rPh sb="0" eb="1">
      <t>トイ</t>
    </rPh>
    <rPh sb="3" eb="5">
      <t>カンド</t>
    </rPh>
    <rPh sb="5" eb="7">
      <t>ブンセキ</t>
    </rPh>
    <phoneticPr fontId="3"/>
  </si>
  <si>
    <t>・・①</t>
    <phoneticPr fontId="3"/>
  </si>
  <si>
    <t>NET</t>
    <phoneticPr fontId="3"/>
  </si>
  <si>
    <t>控除(回避不能)</t>
    <rPh sb="0" eb="2">
      <t>コウジョ</t>
    </rPh>
    <rPh sb="3" eb="5">
      <t>カイヒ</t>
    </rPh>
    <rPh sb="5" eb="7">
      <t>フノウ</t>
    </rPh>
    <phoneticPr fontId="3"/>
  </si>
  <si>
    <t>購入原価</t>
    <rPh sb="0" eb="2">
      <t>コウニュウ</t>
    </rPh>
    <rPh sb="2" eb="4">
      <t>ゲンカ</t>
    </rPh>
    <phoneticPr fontId="3"/>
  </si>
  <si>
    <t>外注する</t>
    <rPh sb="0" eb="2">
      <t>ガイチュウ</t>
    </rPh>
    <phoneticPr fontId="3"/>
  </si>
  <si>
    <t>内製する</t>
    <rPh sb="0" eb="2">
      <t>ナイセイ</t>
    </rPh>
    <phoneticPr fontId="3"/>
  </si>
  <si>
    <t>・・損益分岐、優劣分岐を求める問題では、数量をxとおき、2式を連立させた方程式で解くことが多い。</t>
    <rPh sb="2" eb="4">
      <t>ソンエキ</t>
    </rPh>
    <rPh sb="4" eb="6">
      <t>ブンキ</t>
    </rPh>
    <rPh sb="7" eb="9">
      <t>ユウレツ</t>
    </rPh>
    <rPh sb="9" eb="11">
      <t>ブンキ</t>
    </rPh>
    <rPh sb="12" eb="13">
      <t>モト</t>
    </rPh>
    <rPh sb="15" eb="17">
      <t>モンダイ</t>
    </rPh>
    <rPh sb="20" eb="22">
      <t>スウリョウ</t>
    </rPh>
    <rPh sb="29" eb="30">
      <t>シキ</t>
    </rPh>
    <rPh sb="31" eb="33">
      <t>レンリツ</t>
    </rPh>
    <rPh sb="36" eb="39">
      <t>ホウテイシキ</t>
    </rPh>
    <rPh sb="40" eb="41">
      <t>ト</t>
    </rPh>
    <rPh sb="45" eb="46">
      <t>オオ</t>
    </rPh>
    <phoneticPr fontId="3"/>
  </si>
  <si>
    <t>問3 内外製 差額収益・原価</t>
    <rPh sb="0" eb="1">
      <t>トイ</t>
    </rPh>
    <rPh sb="3" eb="5">
      <t>ナイガイ</t>
    </rPh>
    <rPh sb="5" eb="6">
      <t>セイ</t>
    </rPh>
    <rPh sb="7" eb="9">
      <t>サガク</t>
    </rPh>
    <rPh sb="9" eb="11">
      <t>シュウエキ</t>
    </rPh>
    <rPh sb="12" eb="14">
      <t>ゲンカ</t>
    </rPh>
    <phoneticPr fontId="3"/>
  </si>
  <si>
    <t>台</t>
    <rPh sb="0" eb="1">
      <t>ダイ</t>
    </rPh>
    <phoneticPr fontId="3"/>
  </si>
  <si>
    <t>回避可能</t>
    <rPh sb="0" eb="2">
      <t>カイヒ</t>
    </rPh>
    <rPh sb="2" eb="4">
      <t>カノウ</t>
    </rPh>
    <phoneticPr fontId="3"/>
  </si>
  <si>
    <t>機械</t>
    <rPh sb="0" eb="2">
      <t>キカイ</t>
    </rPh>
    <phoneticPr fontId="3"/>
  </si>
  <si>
    <t>共通</t>
    <rPh sb="0" eb="2">
      <t>キョウツウ</t>
    </rPh>
    <phoneticPr fontId="3"/>
  </si>
  <si>
    <t>固定FOH</t>
    <rPh sb="0" eb="2">
      <t>コテイ</t>
    </rPh>
    <phoneticPr fontId="3"/>
  </si>
  <si>
    <t>問2 部長の給与</t>
    <rPh sb="0" eb="1">
      <t>トイ</t>
    </rPh>
    <rPh sb="3" eb="5">
      <t>ブチョウ</t>
    </rPh>
    <rPh sb="6" eb="8">
      <t>キュウヨ</t>
    </rPh>
    <phoneticPr fontId="3"/>
  </si>
  <si>
    <t>x +</t>
    <phoneticPr fontId="3"/>
  </si>
  <si>
    <t>y=</t>
    <phoneticPr fontId="3"/>
  </si>
  <si>
    <t>2月</t>
    <rPh sb="1" eb="2">
      <t>ガツ</t>
    </rPh>
    <phoneticPr fontId="3"/>
  </si>
  <si>
    <t>11月</t>
    <rPh sb="2" eb="3">
      <t>ガツ</t>
    </rPh>
    <phoneticPr fontId="3"/>
  </si>
  <si>
    <t>高低点法</t>
    <rPh sb="0" eb="2">
      <t>コウテイ</t>
    </rPh>
    <rPh sb="2" eb="3">
      <t>テン</t>
    </rPh>
    <rPh sb="3" eb="4">
      <t>ホウ</t>
    </rPh>
    <phoneticPr fontId="3"/>
  </si>
  <si>
    <t>・・診断士で問われる固変分解はこの｢高低点法｣だけ。ここを間違えると後の問題は全滅なので、方程式を使い確実に当てる。</t>
    <rPh sb="2" eb="5">
      <t>シンダンシ</t>
    </rPh>
    <rPh sb="6" eb="7">
      <t>ト</t>
    </rPh>
    <rPh sb="10" eb="12">
      <t>コヘン</t>
    </rPh>
    <rPh sb="12" eb="14">
      <t>ブンカイ</t>
    </rPh>
    <rPh sb="18" eb="20">
      <t>コウテイ</t>
    </rPh>
    <rPh sb="20" eb="21">
      <t>テン</t>
    </rPh>
    <rPh sb="21" eb="22">
      <t>ホウ</t>
    </rPh>
    <rPh sb="29" eb="31">
      <t>マチガ</t>
    </rPh>
    <rPh sb="34" eb="35">
      <t>アト</t>
    </rPh>
    <rPh sb="36" eb="38">
      <t>モンダイ</t>
    </rPh>
    <rPh sb="39" eb="41">
      <t>ゼンメツ</t>
    </rPh>
    <rPh sb="45" eb="48">
      <t>ホウテイシキ</t>
    </rPh>
    <rPh sb="49" eb="50">
      <t>ツカ</t>
    </rPh>
    <rPh sb="51" eb="53">
      <t>カクジツ</t>
    </rPh>
    <rPh sb="54" eb="55">
      <t>ア</t>
    </rPh>
    <phoneticPr fontId="3"/>
  </si>
  <si>
    <t>問1 固変分解</t>
    <rPh sb="0" eb="1">
      <t>トイ</t>
    </rPh>
    <rPh sb="3" eb="4">
      <t>モトヨリ</t>
    </rPh>
    <rPh sb="4" eb="5">
      <t>ヘン</t>
    </rPh>
    <rPh sb="5" eb="7">
      <t>ブンカイ</t>
    </rPh>
    <phoneticPr fontId="3"/>
  </si>
  <si>
    <t>・内外製では、｢どれくらい損か得か｣｢いくつ以上なら内製が有利か｣のどちらかが聞かれる。後者＝優劣分岐点の問題は、CVP分析と同様に連立方程式で解く。</t>
    <rPh sb="1" eb="3">
      <t>ナイガイ</t>
    </rPh>
    <rPh sb="3" eb="4">
      <t>セイ</t>
    </rPh>
    <rPh sb="13" eb="14">
      <t>ソン</t>
    </rPh>
    <rPh sb="15" eb="16">
      <t>トク</t>
    </rPh>
    <rPh sb="22" eb="24">
      <t>イジョウ</t>
    </rPh>
    <rPh sb="26" eb="28">
      <t>ナイセイ</t>
    </rPh>
    <rPh sb="29" eb="31">
      <t>ユウリ</t>
    </rPh>
    <rPh sb="39" eb="40">
      <t>キ</t>
    </rPh>
    <rPh sb="44" eb="46">
      <t>コウシャ</t>
    </rPh>
    <rPh sb="47" eb="49">
      <t>ユウレツ</t>
    </rPh>
    <rPh sb="49" eb="52">
      <t>ブンキテン</t>
    </rPh>
    <rPh sb="53" eb="55">
      <t>モンダイ</t>
    </rPh>
    <rPh sb="60" eb="62">
      <t>ブンセキ</t>
    </rPh>
    <rPh sb="63" eb="65">
      <t>ドウヨウ</t>
    </rPh>
    <rPh sb="66" eb="68">
      <t>レンリツ</t>
    </rPh>
    <rPh sb="68" eb="71">
      <t>ホウテイシキ</t>
    </rPh>
    <rPh sb="72" eb="73">
      <t>ト</t>
    </rPh>
    <phoneticPr fontId="3"/>
  </si>
  <si>
    <t>・特別注文が｢まとめて買うから安くする｣なら、内外製は｢安くするから買いませんか｣と売り込みを受ける。ここでも両者の差額原価収益を分析し、トクになる方を選ぶ。</t>
    <rPh sb="1" eb="3">
      <t>トクベツ</t>
    </rPh>
    <rPh sb="3" eb="5">
      <t>チュウモン</t>
    </rPh>
    <rPh sb="11" eb="12">
      <t>カ</t>
    </rPh>
    <rPh sb="15" eb="16">
      <t>ヤス</t>
    </rPh>
    <rPh sb="23" eb="25">
      <t>ナイガイ</t>
    </rPh>
    <rPh sb="25" eb="26">
      <t>セイ</t>
    </rPh>
    <rPh sb="28" eb="29">
      <t>ヤス</t>
    </rPh>
    <rPh sb="34" eb="35">
      <t>カ</t>
    </rPh>
    <rPh sb="42" eb="43">
      <t>ウ</t>
    </rPh>
    <rPh sb="44" eb="45">
      <t>コ</t>
    </rPh>
    <rPh sb="47" eb="48">
      <t>ウ</t>
    </rPh>
    <rPh sb="55" eb="57">
      <t>リョウシャ</t>
    </rPh>
    <rPh sb="58" eb="60">
      <t>サガク</t>
    </rPh>
    <rPh sb="60" eb="62">
      <t>ゲンカ</t>
    </rPh>
    <rPh sb="62" eb="64">
      <t>シュウエキ</t>
    </rPh>
    <rPh sb="65" eb="67">
      <t>ブンセキ</t>
    </rPh>
    <rPh sb="74" eb="75">
      <t>ホウ</t>
    </rPh>
    <rPh sb="76" eb="77">
      <t>エラ</t>
    </rPh>
    <phoneticPr fontId="3"/>
  </si>
  <si>
    <t>問題③</t>
    <rPh sb="0" eb="2">
      <t>モンダイ</t>
    </rPh>
    <phoneticPr fontId="3"/>
  </si>
  <si>
    <t>第1章 CASE5 内製か購入かの意思決定</t>
    <rPh sb="0" eb="1">
      <t>ダイ</t>
    </rPh>
    <rPh sb="2" eb="3">
      <t>ショウ</t>
    </rPh>
    <rPh sb="10" eb="12">
      <t>ナイセイ</t>
    </rPh>
    <rPh sb="13" eb="15">
      <t>コウニュウ</t>
    </rPh>
    <rPh sb="17" eb="19">
      <t>イシ</t>
    </rPh>
    <rPh sb="19" eb="21">
      <t>ケッテイ</t>
    </rPh>
    <phoneticPr fontId="3"/>
  </si>
  <si>
    <t>万円低く、有利。</t>
    <rPh sb="0" eb="2">
      <t>マンエン</t>
    </rPh>
    <rPh sb="2" eb="3">
      <t>ヒク</t>
    </rPh>
    <rPh sb="5" eb="7">
      <t>ユウリ</t>
    </rPh>
    <phoneticPr fontId="3"/>
  </si>
  <si>
    <t>A案の方が</t>
    <rPh sb="1" eb="2">
      <t>アン</t>
    </rPh>
    <rPh sb="3" eb="4">
      <t>ホウ</t>
    </rPh>
    <phoneticPr fontId="3"/>
  </si>
  <si>
    <t>B＋C</t>
    <phoneticPr fontId="3"/>
  </si>
  <si>
    <t>変動製造間接費</t>
    <rPh sb="0" eb="2">
      <t>ヘンドウ</t>
    </rPh>
    <rPh sb="2" eb="4">
      <t>セイゾウ</t>
    </rPh>
    <rPh sb="4" eb="6">
      <t>カンセツ</t>
    </rPh>
    <rPh sb="6" eb="7">
      <t>ヒ</t>
    </rPh>
    <phoneticPr fontId="3"/>
  </si>
  <si>
    <t>労務費</t>
    <rPh sb="0" eb="3">
      <t>ロウムヒ</t>
    </rPh>
    <phoneticPr fontId="3"/>
  </si>
  <si>
    <t>材料費</t>
    <rPh sb="0" eb="3">
      <t>ザイリョウヒ</t>
    </rPh>
    <phoneticPr fontId="3"/>
  </si>
  <si>
    <t>外部購入コスト</t>
    <rPh sb="0" eb="2">
      <t>ガイブ</t>
    </rPh>
    <rPh sb="2" eb="4">
      <t>コウニュウ</t>
    </rPh>
    <phoneticPr fontId="3"/>
  </si>
  <si>
    <t>C案</t>
    <rPh sb="1" eb="2">
      <t>アン</t>
    </rPh>
    <phoneticPr fontId="3"/>
  </si>
  <si>
    <t>B案</t>
    <rPh sb="1" eb="2">
      <t>アン</t>
    </rPh>
    <phoneticPr fontId="3"/>
  </si>
  <si>
    <t>問4</t>
    <rPh sb="0" eb="1">
      <t>トイ</t>
    </rPh>
    <phoneticPr fontId="3"/>
  </si>
  <si>
    <t>=</t>
    <phoneticPr fontId="3"/>
  </si>
  <si>
    <t>x</t>
    <phoneticPr fontId="3"/>
  </si>
  <si>
    <t>個以上なら、A案の方が有利</t>
    <rPh sb="0" eb="1">
      <t>コ</t>
    </rPh>
    <rPh sb="1" eb="3">
      <t>イジョウ</t>
    </rPh>
    <rPh sb="7" eb="8">
      <t>アン</t>
    </rPh>
    <rPh sb="9" eb="10">
      <t>ホウ</t>
    </rPh>
    <rPh sb="11" eb="13">
      <t>ユウリ</t>
    </rPh>
    <phoneticPr fontId="3"/>
  </si>
  <si>
    <t>Aの必要数が</t>
    <rPh sb="2" eb="5">
      <t>ヒツヨウスウ</t>
    </rPh>
    <phoneticPr fontId="3"/>
  </si>
  <si>
    <t>x +14,000,000=</t>
    <phoneticPr fontId="3"/>
  </si>
  <si>
    <t>・・A⇔B案の損益が一致する量をxとし、方程式で解く。一旦8,000個以下と仮定して単純化</t>
    <rPh sb="5" eb="6">
      <t>アン</t>
    </rPh>
    <rPh sb="7" eb="9">
      <t>ソンエキ</t>
    </rPh>
    <rPh sb="10" eb="12">
      <t>イッチ</t>
    </rPh>
    <rPh sb="14" eb="15">
      <t>リョウ</t>
    </rPh>
    <rPh sb="20" eb="23">
      <t>ホウテイシキ</t>
    </rPh>
    <rPh sb="24" eb="25">
      <t>ト</t>
    </rPh>
    <rPh sb="27" eb="29">
      <t>イッタン</t>
    </rPh>
    <rPh sb="34" eb="35">
      <t>コ</t>
    </rPh>
    <rPh sb="35" eb="37">
      <t>イカ</t>
    </rPh>
    <rPh sb="38" eb="40">
      <t>カテイ</t>
    </rPh>
    <rPh sb="42" eb="45">
      <t>タンジュンカ</t>
    </rPh>
    <phoneticPr fontId="3"/>
  </si>
  <si>
    <t>差額原価計</t>
    <rPh sb="0" eb="2">
      <t>サガク</t>
    </rPh>
    <rPh sb="2" eb="4">
      <t>ゲンカ</t>
    </rPh>
    <rPh sb="4" eb="5">
      <t>ケイ</t>
    </rPh>
    <phoneticPr fontId="3"/>
  </si>
  <si>
    <t>特殊設備リース料</t>
    <rPh sb="0" eb="2">
      <t>トクシュ</t>
    </rPh>
    <rPh sb="2" eb="4">
      <t>セツビ</t>
    </rPh>
    <rPh sb="7" eb="8">
      <t>リョウ</t>
    </rPh>
    <phoneticPr fontId="3"/>
  </si>
  <si>
    <t>材料費(割引)</t>
    <rPh sb="0" eb="3">
      <t>ザイリョウヒ</t>
    </rPh>
    <rPh sb="4" eb="6">
      <t>ワリビキ</t>
    </rPh>
    <phoneticPr fontId="3"/>
  </si>
  <si>
    <t>B案・・Aを外部購入 単位：万円</t>
    <rPh sb="1" eb="2">
      <t>アン</t>
    </rPh>
    <rPh sb="6" eb="8">
      <t>ガイブ</t>
    </rPh>
    <rPh sb="8" eb="10">
      <t>コウニュウ</t>
    </rPh>
    <rPh sb="11" eb="13">
      <t>タンイ</t>
    </rPh>
    <rPh sb="14" eb="16">
      <t>マンエン</t>
    </rPh>
    <phoneticPr fontId="3"/>
  </si>
  <si>
    <t>A案・・Aを自製</t>
    <rPh sb="1" eb="2">
      <t>アン</t>
    </rPh>
    <rPh sb="6" eb="8">
      <t>ジセイ</t>
    </rPh>
    <phoneticPr fontId="3"/>
  </si>
  <si>
    <t>←同額原価・・考慮しない</t>
    <rPh sb="1" eb="3">
      <t>ドウガク</t>
    </rPh>
    <rPh sb="3" eb="5">
      <t>ゲンカ</t>
    </rPh>
    <rPh sb="7" eb="9">
      <t>コウリョ</t>
    </rPh>
    <phoneticPr fontId="3"/>
  </si>
  <si>
    <t>固定製造間接費</t>
    <rPh sb="0" eb="2">
      <t>コテイ</t>
    </rPh>
    <rPh sb="2" eb="4">
      <t>セイゾウ</t>
    </rPh>
    <rPh sb="4" eb="6">
      <t>カンセツ</t>
    </rPh>
    <rPh sb="6" eb="7">
      <t>ヒ</t>
    </rPh>
    <phoneticPr fontId="3"/>
  </si>
  <si>
    <t>材料費 β</t>
    <rPh sb="0" eb="3">
      <t>ザイリョウヒ</t>
    </rPh>
    <phoneticPr fontId="3"/>
  </si>
  <si>
    <t>※割引有</t>
    <rPh sb="1" eb="3">
      <t>ワリビキ</t>
    </rPh>
    <rPh sb="3" eb="4">
      <t>アリ</t>
    </rPh>
    <phoneticPr fontId="3"/>
  </si>
  <si>
    <t>材料費 α</t>
    <rPh sb="0" eb="3">
      <t>ザイリョウヒ</t>
    </rPh>
    <phoneticPr fontId="3"/>
  </si>
  <si>
    <t>数量</t>
    <rPh sb="0" eb="2">
      <t>スウリョウ</t>
    </rPh>
    <phoneticPr fontId="3"/>
  </si>
  <si>
    <t>B 標準原価カード</t>
    <rPh sb="2" eb="4">
      <t>ヒョウジュン</t>
    </rPh>
    <rPh sb="4" eb="6">
      <t>ゲンカ</t>
    </rPh>
    <phoneticPr fontId="3"/>
  </si>
  <si>
    <t>A 標準原価カード</t>
    <rPh sb="2" eb="4">
      <t>ヒョウジュン</t>
    </rPh>
    <rPh sb="4" eb="6">
      <t>ゲンカ</t>
    </rPh>
    <phoneticPr fontId="3"/>
  </si>
  <si>
    <t>外部購入価格</t>
    <rPh sb="0" eb="2">
      <t>ガイブ</t>
    </rPh>
    <rPh sb="2" eb="4">
      <t>コウニュウ</t>
    </rPh>
    <rPh sb="4" eb="6">
      <t>カカク</t>
    </rPh>
    <phoneticPr fontId="3"/>
  </si>
  <si>
    <t>必要量</t>
    <rPh sb="0" eb="2">
      <t>ヒツヨウ</t>
    </rPh>
    <rPh sb="2" eb="3">
      <t>リョウ</t>
    </rPh>
    <phoneticPr fontId="3"/>
  </si>
  <si>
    <t>・簿記2級原価計算の知識がないと、この条件の読み取りはやや厳しい。</t>
    <rPh sb="1" eb="3">
      <t>ボキ</t>
    </rPh>
    <rPh sb="4" eb="5">
      <t>キュウ</t>
    </rPh>
    <rPh sb="5" eb="7">
      <t>ゲンカ</t>
    </rPh>
    <rPh sb="7" eb="9">
      <t>ケイサン</t>
    </rPh>
    <rPh sb="10" eb="12">
      <t>チシキ</t>
    </rPh>
    <rPh sb="19" eb="21">
      <t>ジョウケン</t>
    </rPh>
    <rPh sb="22" eb="23">
      <t>ヨ</t>
    </rPh>
    <rPh sb="24" eb="25">
      <t>ト</t>
    </rPh>
    <rPh sb="29" eb="30">
      <t>キビ</t>
    </rPh>
    <phoneticPr fontId="3"/>
  </si>
  <si>
    <t>・差額原価で求める問題。与えられた条件から、標準原価カードを使い製造原価を求めることが必要。</t>
    <rPh sb="1" eb="3">
      <t>サガク</t>
    </rPh>
    <rPh sb="3" eb="5">
      <t>ゲンカ</t>
    </rPh>
    <rPh sb="6" eb="7">
      <t>モト</t>
    </rPh>
    <rPh sb="9" eb="11">
      <t>モンダイ</t>
    </rPh>
    <phoneticPr fontId="3"/>
  </si>
  <si>
    <t>問題④</t>
    <rPh sb="0" eb="2">
      <t>モンダイ</t>
    </rPh>
    <phoneticPr fontId="3"/>
  </si>
  <si>
    <t>万円儲かる</t>
    <rPh sb="0" eb="2">
      <t>マンエン</t>
    </rPh>
    <rPh sb="2" eb="3">
      <t>モウ</t>
    </rPh>
    <phoneticPr fontId="3"/>
  </si>
  <si>
    <t>B'+C'で</t>
    <phoneticPr fontId="3"/>
  </si>
  <si>
    <t>(4)B'、C'で販売</t>
    <rPh sb="9" eb="11">
      <t>ハンバイ</t>
    </rPh>
    <phoneticPr fontId="3"/>
  </si>
  <si>
    <t>Xの方が</t>
    <rPh sb="2" eb="3">
      <t>ホウ</t>
    </rPh>
    <phoneticPr fontId="3"/>
  </si>
  <si>
    <t>追加加工費</t>
    <rPh sb="0" eb="2">
      <t>ツイカ</t>
    </rPh>
    <rPh sb="2" eb="4">
      <t>カコウ</t>
    </rPh>
    <rPh sb="4" eb="5">
      <t>ヒ</t>
    </rPh>
    <phoneticPr fontId="3"/>
  </si>
  <si>
    <t>B+C</t>
    <phoneticPr fontId="3"/>
  </si>
  <si>
    <t>X</t>
    <phoneticPr fontId="3"/>
  </si>
  <si>
    <t>(3)Xで販売</t>
    <rPh sb="5" eb="7">
      <t>ハンバイ</t>
    </rPh>
    <phoneticPr fontId="3"/>
  </si>
  <si>
    <t>C'の方が</t>
    <rPh sb="3" eb="4">
      <t>ホウ</t>
    </rPh>
    <phoneticPr fontId="3"/>
  </si>
  <si>
    <t>C'</t>
    <phoneticPr fontId="3"/>
  </si>
  <si>
    <t>(2)CでなくC'で販売</t>
    <rPh sb="10" eb="12">
      <t>ハンバイ</t>
    </rPh>
    <phoneticPr fontId="3"/>
  </si>
  <si>
    <t>B'の方が</t>
    <rPh sb="3" eb="4">
      <t>ホウ</t>
    </rPh>
    <phoneticPr fontId="3"/>
  </si>
  <si>
    <t>B'</t>
    <phoneticPr fontId="3"/>
  </si>
  <si>
    <t>(1)BでなくB'で販売</t>
    <rPh sb="10" eb="12">
      <t>ハンバイ</t>
    </rPh>
    <phoneticPr fontId="3"/>
  </si>
  <si>
    <t>それぞれ、差額がどう変化するかを求める</t>
    <rPh sb="5" eb="7">
      <t>サガク</t>
    </rPh>
    <rPh sb="10" eb="12">
      <t>ヘンカ</t>
    </rPh>
    <rPh sb="16" eb="17">
      <t>モト</t>
    </rPh>
    <phoneticPr fontId="3"/>
  </si>
  <si>
    <t>←配賦の仕方を変える。計算は比較的簡単。</t>
    <rPh sb="1" eb="3">
      <t>ハイフ</t>
    </rPh>
    <rPh sb="4" eb="6">
      <t>シカタ</t>
    </rPh>
    <rPh sb="7" eb="8">
      <t>カ</t>
    </rPh>
    <rPh sb="11" eb="13">
      <t>ケイサン</t>
    </rPh>
    <rPh sb="14" eb="17">
      <t>ヒカクテキ</t>
    </rPh>
    <rPh sb="17" eb="19">
      <t>カンタン</t>
    </rPh>
    <phoneticPr fontId="3"/>
  </si>
  <si>
    <t>売上総利益</t>
    <rPh sb="0" eb="2">
      <t>ウリアゲ</t>
    </rPh>
    <rPh sb="2" eb="5">
      <t>ソウリエキ</t>
    </rPh>
    <phoneticPr fontId="3"/>
  </si>
  <si>
    <t>製造工程Ⅱ原価</t>
    <rPh sb="0" eb="2">
      <t>セイゾウ</t>
    </rPh>
    <rPh sb="2" eb="4">
      <t>コウテイ</t>
    </rPh>
    <rPh sb="5" eb="7">
      <t>ゲンカ</t>
    </rPh>
    <phoneticPr fontId="3"/>
  </si>
  <si>
    <t>製造工程Ⅰ原価</t>
    <rPh sb="0" eb="2">
      <t>セイゾウ</t>
    </rPh>
    <rPh sb="2" eb="4">
      <t>コウテイ</t>
    </rPh>
    <rPh sb="5" eb="7">
      <t>ゲンカ</t>
    </rPh>
    <phoneticPr fontId="3"/>
  </si>
  <si>
    <t>分離点市価</t>
    <rPh sb="0" eb="2">
      <t>ブンリ</t>
    </rPh>
    <rPh sb="2" eb="3">
      <t>テン</t>
    </rPh>
    <rPh sb="3" eb="5">
      <t>シカ</t>
    </rPh>
    <phoneticPr fontId="3"/>
  </si>
  <si>
    <t>kg</t>
    <phoneticPr fontId="3"/>
  </si>
  <si>
    <t>重量</t>
    <rPh sb="0" eb="2">
      <t>ジュウリョウ</t>
    </rPh>
    <phoneticPr fontId="3"/>
  </si>
  <si>
    <t>円/kg</t>
    <rPh sb="0" eb="1">
      <t>エン</t>
    </rPh>
    <phoneticPr fontId="3"/>
  </si>
  <si>
    <t>分離点市価単価</t>
    <rPh sb="0" eb="2">
      <t>ブンリ</t>
    </rPh>
    <rPh sb="2" eb="3">
      <t>テン</t>
    </rPh>
    <rPh sb="3" eb="5">
      <t>シカ</t>
    </rPh>
    <rPh sb="5" eb="7">
      <t>タンカ</t>
    </rPh>
    <phoneticPr fontId="3"/>
  </si>
  <si>
    <t>B</t>
    <phoneticPr fontId="3"/>
  </si>
  <si>
    <t>X</t>
    <phoneticPr fontId="3"/>
  </si>
  <si>
    <t>分離点市価基準</t>
    <rPh sb="0" eb="2">
      <t>ブンリ</t>
    </rPh>
    <rPh sb="2" eb="3">
      <t>テン</t>
    </rPh>
    <rPh sb="3" eb="5">
      <t>シカ</t>
    </rPh>
    <rPh sb="5" eb="7">
      <t>キジュン</t>
    </rPh>
    <phoneticPr fontId="3"/>
  </si>
  <si>
    <t>←問題文指示の実現可能額で配賦。製造工程Ⅱ原価の配賦がやっかい</t>
    <rPh sb="1" eb="3">
      <t>モンダイ</t>
    </rPh>
    <rPh sb="3" eb="4">
      <t>ブン</t>
    </rPh>
    <rPh sb="4" eb="6">
      <t>シジ</t>
    </rPh>
    <rPh sb="7" eb="9">
      <t>ジツゲン</t>
    </rPh>
    <rPh sb="9" eb="12">
      <t>カノウガク</t>
    </rPh>
    <rPh sb="13" eb="15">
      <t>ハイフ</t>
    </rPh>
    <rPh sb="16" eb="18">
      <t>セイゾウ</t>
    </rPh>
    <rPh sb="18" eb="20">
      <t>コウテイ</t>
    </rPh>
    <rPh sb="21" eb="23">
      <t>ゲンカ</t>
    </rPh>
    <rPh sb="24" eb="26">
      <t>ハイフ</t>
    </rPh>
    <phoneticPr fontId="3"/>
  </si>
  <si>
    <t>見積正味実現可能価額 (2) 行程Ⅱ原価配賦後</t>
    <rPh sb="0" eb="2">
      <t>ミツ</t>
    </rPh>
    <rPh sb="2" eb="4">
      <t>ショウミ</t>
    </rPh>
    <rPh sb="4" eb="6">
      <t>ジツゲン</t>
    </rPh>
    <rPh sb="6" eb="8">
      <t>カノウ</t>
    </rPh>
    <rPh sb="8" eb="10">
      <t>カガク</t>
    </rPh>
    <rPh sb="15" eb="17">
      <t>コウテイ</t>
    </rPh>
    <rPh sb="18" eb="20">
      <t>ゲンカ</t>
    </rPh>
    <rPh sb="20" eb="22">
      <t>ハイフ</t>
    </rPh>
    <rPh sb="22" eb="23">
      <t>ゴ</t>
    </rPh>
    <phoneticPr fontId="3"/>
  </si>
  <si>
    <t>見積正味実現可能価額 (1)</t>
    <rPh sb="0" eb="2">
      <t>ミツ</t>
    </rPh>
    <rPh sb="2" eb="4">
      <t>ショウミ</t>
    </rPh>
    <rPh sb="4" eb="6">
      <t>ジツゲン</t>
    </rPh>
    <rPh sb="6" eb="8">
      <t>カノウ</t>
    </rPh>
    <rPh sb="8" eb="10">
      <t>カガク</t>
    </rPh>
    <phoneticPr fontId="3"/>
  </si>
  <si>
    <t>市価</t>
    <rPh sb="0" eb="2">
      <t>シカ</t>
    </rPh>
    <phoneticPr fontId="3"/>
  </si>
  <si>
    <t>見積正味実現可能価額基準</t>
    <rPh sb="0" eb="2">
      <t>ミツ</t>
    </rPh>
    <rPh sb="2" eb="4">
      <t>ショウミ</t>
    </rPh>
    <rPh sb="4" eb="6">
      <t>ジツゲン</t>
    </rPh>
    <rPh sb="6" eb="8">
      <t>カノウ</t>
    </rPh>
    <rPh sb="8" eb="10">
      <t>カガク</t>
    </rPh>
    <rPh sb="10" eb="12">
      <t>キジュン</t>
    </rPh>
    <phoneticPr fontId="3"/>
  </si>
  <si>
    <t>←重量基準で、シンプルに原価を配賦した場合の商品別損益</t>
    <rPh sb="1" eb="3">
      <t>ジュウリョウ</t>
    </rPh>
    <rPh sb="3" eb="5">
      <t>キジュン</t>
    </rPh>
    <rPh sb="12" eb="14">
      <t>ゲンカ</t>
    </rPh>
    <rPh sb="15" eb="17">
      <t>ハイフ</t>
    </rPh>
    <rPh sb="19" eb="21">
      <t>バアイ</t>
    </rPh>
    <rPh sb="22" eb="24">
      <t>ショウヒン</t>
    </rPh>
    <rPh sb="24" eb="25">
      <t>ベツ</t>
    </rPh>
    <rPh sb="25" eb="27">
      <t>ソンエキ</t>
    </rPh>
    <phoneticPr fontId="3"/>
  </si>
  <si>
    <t>売上総利益：円</t>
    <rPh sb="0" eb="2">
      <t>ウリアゲ</t>
    </rPh>
    <rPh sb="2" eb="5">
      <t>ソウリエキ</t>
    </rPh>
    <rPh sb="6" eb="7">
      <t>エン</t>
    </rPh>
    <phoneticPr fontId="3"/>
  </si>
  <si>
    <t>売上高：万円</t>
    <rPh sb="0" eb="2">
      <t>ウリアゲ</t>
    </rPh>
    <rPh sb="2" eb="3">
      <t>ダカ</t>
    </rPh>
    <rPh sb="4" eb="6">
      <t>マンエン</t>
    </rPh>
    <phoneticPr fontId="3"/>
  </si>
  <si>
    <t>単位当たり製造原価：円</t>
    <rPh sb="0" eb="2">
      <t>タンイ</t>
    </rPh>
    <rPh sb="2" eb="3">
      <t>ア</t>
    </rPh>
    <rPh sb="5" eb="7">
      <t>セイゾウ</t>
    </rPh>
    <rPh sb="7" eb="9">
      <t>ゲンカ</t>
    </rPh>
    <rPh sb="10" eb="11">
      <t>エン</t>
    </rPh>
    <phoneticPr fontId="3"/>
  </si>
  <si>
    <t>連結原価配賦額：万円</t>
    <rPh sb="0" eb="2">
      <t>レンケツ</t>
    </rPh>
    <rPh sb="2" eb="4">
      <t>ゲンカ</t>
    </rPh>
    <rPh sb="4" eb="6">
      <t>ハイフ</t>
    </rPh>
    <rPh sb="6" eb="7">
      <t>ガク</t>
    </rPh>
    <rPh sb="8" eb="10">
      <t>マンエン</t>
    </rPh>
    <phoneticPr fontId="3"/>
  </si>
  <si>
    <t>追加加工費：万円</t>
    <rPh sb="0" eb="2">
      <t>ツイカ</t>
    </rPh>
    <rPh sb="2" eb="4">
      <t>カコウ</t>
    </rPh>
    <rPh sb="4" eb="5">
      <t>ヒ</t>
    </rPh>
    <rPh sb="6" eb="8">
      <t>マンエン</t>
    </rPh>
    <phoneticPr fontId="3"/>
  </si>
  <si>
    <t>単位</t>
    <rPh sb="0" eb="2">
      <t>タンイ</t>
    </rPh>
    <phoneticPr fontId="3"/>
  </si>
  <si>
    <t>市場価格</t>
    <rPh sb="0" eb="2">
      <t>シジョウ</t>
    </rPh>
    <rPh sb="2" eb="4">
      <t>カカク</t>
    </rPh>
    <phoneticPr fontId="3"/>
  </si>
  <si>
    <t>B</t>
    <phoneticPr fontId="3"/>
  </si>
  <si>
    <t>単位：万円</t>
    <rPh sb="0" eb="2">
      <t>タンイ</t>
    </rPh>
    <rPh sb="3" eb="5">
      <t>マンエン</t>
    </rPh>
    <phoneticPr fontId="3"/>
  </si>
  <si>
    <t>・論点としては、例えば石油製品のように、1原料から複数製品を作る場合の原価を決める。でもやはり出ない。</t>
    <rPh sb="1" eb="3">
      <t>ロンテン</t>
    </rPh>
    <rPh sb="8" eb="9">
      <t>タト</t>
    </rPh>
    <rPh sb="11" eb="13">
      <t>セキユ</t>
    </rPh>
    <rPh sb="13" eb="15">
      <t>セイヒン</t>
    </rPh>
    <rPh sb="21" eb="23">
      <t>ゲンリョウ</t>
    </rPh>
    <rPh sb="25" eb="27">
      <t>フクスウ</t>
    </rPh>
    <rPh sb="27" eb="29">
      <t>セイヒン</t>
    </rPh>
    <rPh sb="30" eb="31">
      <t>ツク</t>
    </rPh>
    <rPh sb="32" eb="34">
      <t>バアイ</t>
    </rPh>
    <rPh sb="35" eb="37">
      <t>ゲンカ</t>
    </rPh>
    <rPh sb="38" eb="39">
      <t>キ</t>
    </rPh>
    <rPh sb="47" eb="48">
      <t>デ</t>
    </rPh>
    <phoneticPr fontId="3"/>
  </si>
  <si>
    <t>・追加加工、または連産品とは、1次｢財務｣の出題例がなく、従い｢2次｣でも問われない。</t>
    <rPh sb="1" eb="3">
      <t>ツイカ</t>
    </rPh>
    <rPh sb="3" eb="5">
      <t>カコウ</t>
    </rPh>
    <rPh sb="9" eb="10">
      <t>レン</t>
    </rPh>
    <rPh sb="10" eb="12">
      <t>サンピン</t>
    </rPh>
    <rPh sb="16" eb="17">
      <t>ジ</t>
    </rPh>
    <rPh sb="18" eb="20">
      <t>ザイム</t>
    </rPh>
    <rPh sb="22" eb="24">
      <t>シュツダイ</t>
    </rPh>
    <rPh sb="24" eb="25">
      <t>レイ</t>
    </rPh>
    <rPh sb="29" eb="30">
      <t>シタガ</t>
    </rPh>
    <rPh sb="31" eb="35">
      <t>２ジ</t>
    </rPh>
    <rPh sb="37" eb="38">
      <t>ト</t>
    </rPh>
    <phoneticPr fontId="3"/>
  </si>
  <si>
    <t>問題⑤</t>
    <rPh sb="0" eb="2">
      <t>モンダイ</t>
    </rPh>
    <phoneticPr fontId="3"/>
  </si>
  <si>
    <t>第1章 CASE6 追加加工</t>
    <rPh sb="0" eb="1">
      <t>ダイ</t>
    </rPh>
    <rPh sb="2" eb="3">
      <t>ショウ</t>
    </rPh>
    <rPh sb="10" eb="12">
      <t>ツイカ</t>
    </rPh>
    <rPh sb="12" eb="14">
      <t>カコウ</t>
    </rPh>
    <phoneticPr fontId="3"/>
  </si>
  <si>
    <t xml:space="preserve">  一般管理費</t>
    <rPh sb="2" eb="4">
      <t>イッパン</t>
    </rPh>
    <rPh sb="4" eb="7">
      <t>カンリヒ</t>
    </rPh>
    <phoneticPr fontId="3"/>
  </si>
  <si>
    <t xml:space="preserve">   減価償却費</t>
    <rPh sb="3" eb="5">
      <t>ゲンカ</t>
    </rPh>
    <rPh sb="5" eb="7">
      <t>ショウキャク</t>
    </rPh>
    <rPh sb="7" eb="8">
      <t>ヒ</t>
    </rPh>
    <phoneticPr fontId="3"/>
  </si>
  <si>
    <t xml:space="preserve">   給料</t>
    <rPh sb="3" eb="5">
      <t>キュウリョウ</t>
    </rPh>
    <phoneticPr fontId="3"/>
  </si>
  <si>
    <t>固定費(共通・・回避不能)</t>
    <rPh sb="0" eb="2">
      <t>コテイ</t>
    </rPh>
    <rPh sb="2" eb="3">
      <t>ヒ</t>
    </rPh>
    <rPh sb="4" eb="6">
      <t>キョウツウ</t>
    </rPh>
    <rPh sb="8" eb="10">
      <t>カイヒ</t>
    </rPh>
    <rPh sb="10" eb="12">
      <t>フノウ</t>
    </rPh>
    <phoneticPr fontId="3"/>
  </si>
  <si>
    <t xml:space="preserve">   逆にこの時点でマイナスなら、そのセグメントは廃止する方がマシ。</t>
    <rPh sb="3" eb="4">
      <t>ギャク</t>
    </rPh>
    <rPh sb="7" eb="9">
      <t>ジテン</t>
    </rPh>
    <rPh sb="25" eb="27">
      <t>ハイシ</t>
    </rPh>
    <rPh sb="29" eb="30">
      <t>ホウ</t>
    </rPh>
    <phoneticPr fontId="3"/>
  </si>
  <si>
    <t>←ここがプラスであれば、共通固定費の回収に貢献できるため、セグメントは残す。</t>
    <rPh sb="12" eb="14">
      <t>キョウツウ</t>
    </rPh>
    <rPh sb="14" eb="16">
      <t>コテイ</t>
    </rPh>
    <rPh sb="16" eb="17">
      <t>ヒ</t>
    </rPh>
    <rPh sb="18" eb="20">
      <t>カイシュウ</t>
    </rPh>
    <rPh sb="21" eb="23">
      <t>コウケン</t>
    </rPh>
    <rPh sb="35" eb="36">
      <t>ノコ</t>
    </rPh>
    <phoneticPr fontId="3"/>
  </si>
  <si>
    <t>共通固定費負担前営業利益</t>
    <rPh sb="0" eb="2">
      <t>キョウツウ</t>
    </rPh>
    <rPh sb="2" eb="4">
      <t>コテイ</t>
    </rPh>
    <rPh sb="4" eb="5">
      <t>ヒ</t>
    </rPh>
    <rPh sb="5" eb="7">
      <t>フタン</t>
    </rPh>
    <rPh sb="7" eb="8">
      <t>マエ</t>
    </rPh>
    <rPh sb="8" eb="10">
      <t>エイギョウ</t>
    </rPh>
    <rPh sb="10" eb="12">
      <t>リエキ</t>
    </rPh>
    <phoneticPr fontId="3"/>
  </si>
  <si>
    <t xml:space="preserve">   保険料</t>
    <rPh sb="3" eb="6">
      <t>ホケンリョウ</t>
    </rPh>
    <phoneticPr fontId="3"/>
  </si>
  <si>
    <t xml:space="preserve">   賃借料</t>
    <rPh sb="3" eb="6">
      <t>チンシャクリョウ</t>
    </rPh>
    <phoneticPr fontId="3"/>
  </si>
  <si>
    <t>固定費(回避可能)</t>
    <rPh sb="0" eb="2">
      <t>コテイ</t>
    </rPh>
    <rPh sb="2" eb="3">
      <t>ヒ</t>
    </rPh>
    <rPh sb="4" eb="6">
      <t>カイヒ</t>
    </rPh>
    <rPh sb="6" eb="8">
      <t>カノウ</t>
    </rPh>
    <phoneticPr fontId="3"/>
  </si>
  <si>
    <t>貢献利益</t>
    <rPh sb="0" eb="2">
      <t>コウケン</t>
    </rPh>
    <rPh sb="2" eb="4">
      <t>リエキ</t>
    </rPh>
    <phoneticPr fontId="3"/>
  </si>
  <si>
    <t>変動費</t>
    <rPh sb="0" eb="2">
      <t>ヘンドウ</t>
    </rPh>
    <rPh sb="2" eb="3">
      <t>ヒ</t>
    </rPh>
    <phoneticPr fontId="3"/>
  </si>
  <si>
    <t>製品C</t>
    <rPh sb="0" eb="2">
      <t>セイヒン</t>
    </rPh>
    <phoneticPr fontId="3"/>
  </si>
  <si>
    <t>・製品Cの固定費を、個別固定費⇔共通固定費に分け、共通固定費配賦前の営業利益がプラスなら、セグメントを残す。</t>
    <rPh sb="1" eb="3">
      <t>セイヒン</t>
    </rPh>
    <rPh sb="5" eb="7">
      <t>コテイ</t>
    </rPh>
    <rPh sb="7" eb="8">
      <t>ヒ</t>
    </rPh>
    <rPh sb="10" eb="12">
      <t>コベツ</t>
    </rPh>
    <rPh sb="12" eb="14">
      <t>コテイ</t>
    </rPh>
    <rPh sb="14" eb="15">
      <t>ヒ</t>
    </rPh>
    <rPh sb="16" eb="18">
      <t>キョウツウ</t>
    </rPh>
    <rPh sb="18" eb="20">
      <t>コテイ</t>
    </rPh>
    <rPh sb="20" eb="21">
      <t>ヒ</t>
    </rPh>
    <rPh sb="22" eb="23">
      <t>ワ</t>
    </rPh>
    <rPh sb="25" eb="27">
      <t>キョウツウ</t>
    </rPh>
    <rPh sb="27" eb="29">
      <t>コテイ</t>
    </rPh>
    <rPh sb="29" eb="30">
      <t>ヒ</t>
    </rPh>
    <rPh sb="30" eb="32">
      <t>ハイフ</t>
    </rPh>
    <rPh sb="32" eb="33">
      <t>マエ</t>
    </rPh>
    <rPh sb="34" eb="36">
      <t>エイギョウ</t>
    </rPh>
    <rPh sb="36" eb="38">
      <t>リエキ</t>
    </rPh>
    <rPh sb="51" eb="52">
      <t>ノコ</t>
    </rPh>
    <phoneticPr fontId="3"/>
  </si>
  <si>
    <t>問題⑥</t>
    <rPh sb="0" eb="2">
      <t>モンダイ</t>
    </rPh>
    <phoneticPr fontId="3"/>
  </si>
  <si>
    <t>第1章 CASE7 セグメントの存廃</t>
    <rPh sb="0" eb="1">
      <t>ダイ</t>
    </rPh>
    <rPh sb="2" eb="3">
      <t>ショウ</t>
    </rPh>
    <rPh sb="16" eb="18">
      <t>ソンパイ</t>
    </rPh>
    <phoneticPr fontId="3"/>
  </si>
  <si>
    <t>・・僅差で、外部倉庫を借りても200個ずつ発注する方が良い。</t>
    <rPh sb="2" eb="4">
      <t>キンサ</t>
    </rPh>
    <rPh sb="6" eb="8">
      <t>ガイブ</t>
    </rPh>
    <rPh sb="8" eb="10">
      <t>ソウコ</t>
    </rPh>
    <rPh sb="11" eb="12">
      <t>カ</t>
    </rPh>
    <rPh sb="18" eb="19">
      <t>コ</t>
    </rPh>
    <rPh sb="21" eb="23">
      <t>ハッチュウ</t>
    </rPh>
    <rPh sb="25" eb="26">
      <t>ホウ</t>
    </rPh>
    <rPh sb="27" eb="28">
      <t>ヨ</t>
    </rPh>
    <phoneticPr fontId="3"/>
  </si>
  <si>
    <t>計</t>
    <rPh sb="0" eb="1">
      <t>ケイ</t>
    </rPh>
    <phoneticPr fontId="3"/>
  </si>
  <si>
    <t>外部倉庫費用</t>
    <rPh sb="0" eb="2">
      <t>ガイブ</t>
    </rPh>
    <rPh sb="2" eb="4">
      <t>ソウコ</t>
    </rPh>
    <rPh sb="4" eb="6">
      <t>ヒヨウ</t>
    </rPh>
    <phoneticPr fontId="3"/>
  </si>
  <si>
    <t>保管費用</t>
    <rPh sb="0" eb="2">
      <t>ホカン</t>
    </rPh>
    <rPh sb="2" eb="4">
      <t>ヒヨウ</t>
    </rPh>
    <phoneticPr fontId="3"/>
  </si>
  <si>
    <t>発注費用</t>
    <rPh sb="0" eb="2">
      <t>ハッチュウ</t>
    </rPh>
    <rPh sb="2" eb="4">
      <t>ヒヨウ</t>
    </rPh>
    <phoneticPr fontId="3"/>
  </si>
  <si>
    <t>200個ずつ発注し、外部倉庫も借りる</t>
    <rPh sb="3" eb="4">
      <t>コ</t>
    </rPh>
    <rPh sb="6" eb="8">
      <t>ハッチュウ</t>
    </rPh>
    <rPh sb="10" eb="12">
      <t>ガイブ</t>
    </rPh>
    <rPh sb="12" eb="14">
      <t>ソウコ</t>
    </rPh>
    <rPh sb="15" eb="16">
      <t>カ</t>
    </rPh>
    <phoneticPr fontId="3"/>
  </si>
  <si>
    <t>125個ずつ発注</t>
    <rPh sb="3" eb="4">
      <t>コ</t>
    </rPh>
    <rPh sb="6" eb="8">
      <t>ハッチュウ</t>
    </rPh>
    <phoneticPr fontId="3"/>
  </si>
  <si>
    <t>・・2案の比較。甲案、乙案それぞれの発注費用、保管費用の総額を単純に求めて、比較</t>
    <rPh sb="3" eb="4">
      <t>アン</t>
    </rPh>
    <rPh sb="5" eb="7">
      <t>ヒカク</t>
    </rPh>
    <rPh sb="8" eb="9">
      <t>コウ</t>
    </rPh>
    <rPh sb="9" eb="10">
      <t>アン</t>
    </rPh>
    <rPh sb="11" eb="12">
      <t>オツ</t>
    </rPh>
    <rPh sb="12" eb="13">
      <t>アン</t>
    </rPh>
    <rPh sb="18" eb="20">
      <t>ハッチュウ</t>
    </rPh>
    <rPh sb="20" eb="22">
      <t>ヒヨウ</t>
    </rPh>
    <rPh sb="23" eb="25">
      <t>ホカン</t>
    </rPh>
    <rPh sb="25" eb="27">
      <t>ヒヨウ</t>
    </rPh>
    <rPh sb="28" eb="30">
      <t>ソウガク</t>
    </rPh>
    <rPh sb="31" eb="33">
      <t>タンジュン</t>
    </rPh>
    <rPh sb="34" eb="35">
      <t>モト</t>
    </rPh>
    <rPh sb="38" eb="40">
      <t>ヒカク</t>
    </rPh>
    <phoneticPr fontId="3"/>
  </si>
  <si>
    <t>この方程式を解くと、x＝</t>
    <rPh sb="2" eb="5">
      <t>ホウテイシキ</t>
    </rPh>
    <rPh sb="6" eb="7">
      <t>ト</t>
    </rPh>
    <phoneticPr fontId="3"/>
  </si>
  <si>
    <t>(500+500)×x/2</t>
    <phoneticPr fontId="3"/>
  </si>
  <si>
    <t>保管費用＝</t>
    <rPh sb="0" eb="2">
      <t>ホカン</t>
    </rPh>
    <rPh sb="2" eb="4">
      <t>ヒヨウ</t>
    </rPh>
    <phoneticPr fontId="3"/>
  </si>
  <si>
    <t>(300+1,700)×10,000／x</t>
    <phoneticPr fontId="3"/>
  </si>
  <si>
    <t>発注費用＝</t>
    <rPh sb="0" eb="2">
      <t>ハッチュウ</t>
    </rPh>
    <rPh sb="2" eb="4">
      <t>ヒヨウ</t>
    </rPh>
    <phoneticPr fontId="3"/>
  </si>
  <si>
    <t>発注量をxとおくと</t>
    <rPh sb="0" eb="2">
      <t>ハッチュウ</t>
    </rPh>
    <rPh sb="2" eb="3">
      <t>リョウ</t>
    </rPh>
    <phoneticPr fontId="3"/>
  </si>
  <si>
    <t>⑤⑥⑦・・・この3つは発注数量による変動はないので、EOQ計算では考慮しない。</t>
    <rPh sb="11" eb="13">
      <t>ハッチュウ</t>
    </rPh>
    <rPh sb="13" eb="15">
      <t>スウリョウ</t>
    </rPh>
    <rPh sb="18" eb="20">
      <t>ヘンドウ</t>
    </rPh>
    <rPh sb="29" eb="31">
      <t>ケイサン</t>
    </rPh>
    <rPh sb="33" eb="35">
      <t>コウリョ</t>
    </rPh>
    <phoneticPr fontId="3"/>
  </si>
  <si>
    <t>非関連原価</t>
    <rPh sb="0" eb="1">
      <t>ヒ</t>
    </rPh>
    <rPh sb="1" eb="3">
      <t>カンレン</t>
    </rPh>
    <rPh sb="3" eb="5">
      <t>ゲンカ</t>
    </rPh>
    <phoneticPr fontId="3"/>
  </si>
  <si>
    <t>⑧年間保管費</t>
    <rPh sb="1" eb="3">
      <t>ネンカン</t>
    </rPh>
    <rPh sb="3" eb="5">
      <t>ホカン</t>
    </rPh>
    <rPh sb="5" eb="6">
      <t>ヒ</t>
    </rPh>
    <phoneticPr fontId="3"/>
  </si>
  <si>
    <t>⑦火災保険料</t>
    <rPh sb="1" eb="3">
      <t>カサイ</t>
    </rPh>
    <rPh sb="3" eb="6">
      <t>ホケンリョウ</t>
    </rPh>
    <phoneticPr fontId="3"/>
  </si>
  <si>
    <t>保管料の計算</t>
    <rPh sb="0" eb="3">
      <t>ホカンリョウ</t>
    </rPh>
    <rPh sb="4" eb="6">
      <t>ケイサン</t>
    </rPh>
    <phoneticPr fontId="3"/>
  </si>
  <si>
    <t>④事務用消耗品</t>
    <rPh sb="1" eb="3">
      <t>ジム</t>
    </rPh>
    <rPh sb="3" eb="4">
      <t>ヨウ</t>
    </rPh>
    <rPh sb="4" eb="6">
      <t>ショウモウ</t>
    </rPh>
    <rPh sb="6" eb="7">
      <t>ヒン</t>
    </rPh>
    <phoneticPr fontId="3"/>
  </si>
  <si>
    <t>③電話料</t>
    <rPh sb="1" eb="4">
      <t>デンワリョウ</t>
    </rPh>
    <phoneticPr fontId="3"/>
  </si>
  <si>
    <t>発注費の計算</t>
    <rPh sb="0" eb="2">
      <t>ハッチュウ</t>
    </rPh>
    <rPh sb="2" eb="3">
      <t>ヒ</t>
    </rPh>
    <rPh sb="4" eb="6">
      <t>ケイサン</t>
    </rPh>
    <phoneticPr fontId="3"/>
  </si>
  <si>
    <t>②購入単価</t>
    <rPh sb="1" eb="3">
      <t>コウニュウ</t>
    </rPh>
    <rPh sb="3" eb="5">
      <t>タンカ</t>
    </rPh>
    <phoneticPr fontId="3"/>
  </si>
  <si>
    <t>①予定総消費量</t>
    <rPh sb="1" eb="3">
      <t>ヨテイ</t>
    </rPh>
    <rPh sb="3" eb="4">
      <t>ソウ</t>
    </rPh>
    <rPh sb="4" eb="7">
      <t>ショウヒリョウ</t>
    </rPh>
    <phoneticPr fontId="3"/>
  </si>
  <si>
    <t>計算条件</t>
    <rPh sb="0" eb="2">
      <t>ケイサン</t>
    </rPh>
    <rPh sb="2" eb="4">
      <t>ジョウケン</t>
    </rPh>
    <phoneticPr fontId="3"/>
  </si>
  <si>
    <t>・問2、問3は感度分析。条件をいろいろ変化され、儲かる・儲からないを調べる。計算条件を整理する練習。</t>
    <rPh sb="1" eb="2">
      <t>トイ</t>
    </rPh>
    <rPh sb="4" eb="5">
      <t>トイ</t>
    </rPh>
    <rPh sb="7" eb="9">
      <t>カンド</t>
    </rPh>
    <rPh sb="9" eb="11">
      <t>ブンセキ</t>
    </rPh>
    <rPh sb="12" eb="14">
      <t>ジョウケン</t>
    </rPh>
    <rPh sb="19" eb="21">
      <t>ヘンカ</t>
    </rPh>
    <rPh sb="24" eb="25">
      <t>モウ</t>
    </rPh>
    <rPh sb="28" eb="29">
      <t>モウ</t>
    </rPh>
    <rPh sb="34" eb="35">
      <t>シラ</t>
    </rPh>
    <rPh sb="38" eb="40">
      <t>ケイサン</t>
    </rPh>
    <rPh sb="40" eb="42">
      <t>ジョウケン</t>
    </rPh>
    <rPh sb="43" eb="45">
      <t>セイリ</t>
    </rPh>
    <rPh sb="47" eb="49">
      <t>レンシュウ</t>
    </rPh>
    <phoneticPr fontId="3"/>
  </si>
  <si>
    <t>・問1は経済的発注量EOQの基本問題。発注回数をxとおいて発注費用・在庫費用をそれぞれ求め、連立方程式で解く。</t>
    <rPh sb="1" eb="2">
      <t>トイ</t>
    </rPh>
    <rPh sb="4" eb="7">
      <t>ケイザイテキ</t>
    </rPh>
    <rPh sb="7" eb="10">
      <t>ハッチュウリョウ</t>
    </rPh>
    <rPh sb="14" eb="16">
      <t>キホン</t>
    </rPh>
    <rPh sb="16" eb="18">
      <t>モンダイ</t>
    </rPh>
    <rPh sb="19" eb="21">
      <t>ハッチュウ</t>
    </rPh>
    <rPh sb="21" eb="23">
      <t>カイスウ</t>
    </rPh>
    <rPh sb="29" eb="31">
      <t>ハッチュウ</t>
    </rPh>
    <rPh sb="31" eb="33">
      <t>ヒヨウ</t>
    </rPh>
    <rPh sb="34" eb="36">
      <t>ザイコ</t>
    </rPh>
    <rPh sb="36" eb="38">
      <t>ヒヨウ</t>
    </rPh>
    <rPh sb="43" eb="44">
      <t>モト</t>
    </rPh>
    <rPh sb="46" eb="48">
      <t>レンリツ</t>
    </rPh>
    <rPh sb="48" eb="51">
      <t>ホウテイシキ</t>
    </rPh>
    <rPh sb="52" eb="53">
      <t>ト</t>
    </rPh>
    <phoneticPr fontId="3"/>
  </si>
  <si>
    <t>問題⑦</t>
    <rPh sb="0" eb="2">
      <t>モンダイ</t>
    </rPh>
    <phoneticPr fontId="3"/>
  </si>
  <si>
    <t>第1章 CASE8 経済的発注量</t>
    <rPh sb="0" eb="1">
      <t>ダイ</t>
    </rPh>
    <rPh sb="2" eb="3">
      <t>ショウ</t>
    </rPh>
    <rPh sb="10" eb="13">
      <t>ケイザイテキ</t>
    </rPh>
    <rPh sb="13" eb="16">
      <t>ハッチュウリョウ</t>
    </rPh>
    <phoneticPr fontId="3"/>
  </si>
  <si>
    <t>NPV</t>
    <phoneticPr fontId="3"/>
  </si>
  <si>
    <t>CIF</t>
    <phoneticPr fontId="3"/>
  </si>
  <si>
    <t>T2</t>
    <phoneticPr fontId="3"/>
  </si>
  <si>
    <t>T0</t>
    <phoneticPr fontId="3"/>
  </si>
  <si>
    <t>T0</t>
    <phoneticPr fontId="3"/>
  </si>
  <si>
    <t>T3</t>
    <phoneticPr fontId="3"/>
  </si>
  <si>
    <t>T1</t>
    <phoneticPr fontId="3"/>
  </si>
  <si>
    <t>CIF</t>
    <phoneticPr fontId="3"/>
  </si>
  <si>
    <t>T3</t>
    <phoneticPr fontId="3"/>
  </si>
  <si>
    <t>T2</t>
    <phoneticPr fontId="3"/>
  </si>
  <si>
    <t>T1</t>
    <phoneticPr fontId="3"/>
  </si>
  <si>
    <t>T0</t>
    <phoneticPr fontId="3"/>
  </si>
  <si>
    <t>Y2</t>
    <phoneticPr fontId="3"/>
  </si>
  <si>
    <t>Y1</t>
    <phoneticPr fontId="3"/>
  </si>
  <si>
    <t>Y0</t>
    <phoneticPr fontId="3"/>
  </si>
  <si>
    <t>TS</t>
    <phoneticPr fontId="3"/>
  </si>
  <si>
    <t>Y4</t>
    <phoneticPr fontId="3"/>
  </si>
  <si>
    <t>Y0</t>
    <phoneticPr fontId="3"/>
  </si>
  <si>
    <t>Y-1</t>
    <phoneticPr fontId="3"/>
  </si>
  <si>
    <t>Y-1</t>
    <phoneticPr fontId="3"/>
  </si>
  <si>
    <t xml:space="preserve">個別論点/簿記コンボ  </t>
    <rPh sb="0" eb="2">
      <t>コベツ</t>
    </rPh>
    <rPh sb="2" eb="4">
      <t>ロンテン</t>
    </rPh>
    <rPh sb="5" eb="7">
      <t>ボキ</t>
    </rPh>
    <phoneticPr fontId="3"/>
  </si>
  <si>
    <t>問題⑮</t>
    <rPh sb="0" eb="2">
      <t>モンダイ</t>
    </rPh>
    <phoneticPr fontId="3"/>
  </si>
  <si>
    <t>問1 法人税支払を考慮しない毎年のCF</t>
    <rPh sb="0" eb="1">
      <t>ト</t>
    </rPh>
    <rPh sb="3" eb="6">
      <t>ホウジンゼイ</t>
    </rPh>
    <rPh sb="6" eb="8">
      <t>シハラ</t>
    </rPh>
    <rPh sb="9" eb="11">
      <t>コウリョ</t>
    </rPh>
    <rPh sb="14" eb="16">
      <t>マイトシ</t>
    </rPh>
    <phoneticPr fontId="3"/>
  </si>
  <si>
    <t>税引前手直し費</t>
    <rPh sb="0" eb="2">
      <t>ゼイビキ</t>
    </rPh>
    <rPh sb="3" eb="5">
      <t>テナオ</t>
    </rPh>
    <rPh sb="6" eb="7">
      <t>ヒ</t>
    </rPh>
    <phoneticPr fontId="3"/>
  </si>
  <si>
    <t>税引前検査コスト</t>
    <rPh sb="0" eb="2">
      <t>ゼイビキ</t>
    </rPh>
    <rPh sb="3" eb="5">
      <t>ケンサ</t>
    </rPh>
    <phoneticPr fontId="3"/>
  </si>
  <si>
    <t>税引前研修教育費</t>
    <rPh sb="0" eb="2">
      <t>ゼイビキ</t>
    </rPh>
    <rPh sb="3" eb="5">
      <t>ケンシュウ</t>
    </rPh>
    <rPh sb="5" eb="8">
      <t>キョウイクヒ</t>
    </rPh>
    <phoneticPr fontId="3"/>
  </si>
  <si>
    <t>税引前CF計</t>
    <rPh sb="0" eb="2">
      <t>ゼイビキ</t>
    </rPh>
    <rPh sb="5" eb="6">
      <t>ケイ</t>
    </rPh>
    <phoneticPr fontId="3"/>
  </si>
  <si>
    <t>売上・利益の減少(税引前)</t>
    <rPh sb="0" eb="2">
      <t>ウリアゲ</t>
    </rPh>
    <rPh sb="3" eb="5">
      <t>リエキ</t>
    </rPh>
    <rPh sb="6" eb="8">
      <t>ゲンショウ</t>
    </rPh>
    <rPh sb="9" eb="11">
      <t>ゼイビキ</t>
    </rPh>
    <phoneticPr fontId="3"/>
  </si>
  <si>
    <t>税引前クレームコスト</t>
    <rPh sb="0" eb="2">
      <t>ゼイビキ</t>
    </rPh>
    <phoneticPr fontId="3"/>
  </si>
  <si>
    <t>問3 NPVの計算と比較</t>
    <rPh sb="0" eb="1">
      <t>トイ</t>
    </rPh>
    <rPh sb="7" eb="9">
      <t>ケイサン</t>
    </rPh>
    <rPh sb="10" eb="12">
      <t>ヒカク</t>
    </rPh>
    <phoneticPr fontId="3"/>
  </si>
  <si>
    <t>現価係数</t>
    <rPh sb="0" eb="2">
      <t>ゲンカ</t>
    </rPh>
    <rPh sb="2" eb="4">
      <t>ケイスウ</t>
    </rPh>
    <phoneticPr fontId="3"/>
  </si>
  <si>
    <t>甲案のCIF</t>
    <rPh sb="0" eb="1">
      <t>コウ</t>
    </rPh>
    <rPh sb="1" eb="2">
      <t>アン</t>
    </rPh>
    <phoneticPr fontId="3"/>
  </si>
  <si>
    <t>NPV</t>
    <phoneticPr fontId="3"/>
  </si>
  <si>
    <t>乙案のCIF</t>
    <rPh sb="0" eb="1">
      <t>オツ</t>
    </rPh>
    <rPh sb="1" eb="2">
      <t>アン</t>
    </rPh>
    <phoneticPr fontId="3"/>
  </si>
  <si>
    <t>差額</t>
    <rPh sb="0" eb="2">
      <t>サガク</t>
    </rPh>
    <phoneticPr fontId="3"/>
  </si>
  <si>
    <t>甲案の方が</t>
    <rPh sb="0" eb="1">
      <t>コウ</t>
    </rPh>
    <rPh sb="1" eb="2">
      <t>アン</t>
    </rPh>
    <rPh sb="3" eb="4">
      <t>ホウ</t>
    </rPh>
    <phoneticPr fontId="3"/>
  </si>
  <si>
    <t>万円有利。</t>
    <rPh sb="0" eb="2">
      <t>マンエン</t>
    </rPh>
    <rPh sb="2" eb="4">
      <t>ユウリ</t>
    </rPh>
    <phoneticPr fontId="3"/>
  </si>
  <si>
    <t>問題⑰</t>
    <rPh sb="0" eb="2">
      <t>モンダイ</t>
    </rPh>
    <phoneticPr fontId="3"/>
  </si>
  <si>
    <t>・耐用年数が異なる投資案の比較は、NPV計算の応用問題としては定番。実感が湧きにくいが、2案の耐用年数の最小公倍数まで反復投資する仮定でNPVを比較する。</t>
    <rPh sb="1" eb="3">
      <t>タイヨウ</t>
    </rPh>
    <rPh sb="3" eb="5">
      <t>ネンスウ</t>
    </rPh>
    <rPh sb="6" eb="7">
      <t>コト</t>
    </rPh>
    <rPh sb="9" eb="11">
      <t>トウシ</t>
    </rPh>
    <rPh sb="11" eb="12">
      <t>アン</t>
    </rPh>
    <rPh sb="13" eb="15">
      <t>ヒカク</t>
    </rPh>
    <rPh sb="20" eb="22">
      <t>ケイサン</t>
    </rPh>
    <rPh sb="23" eb="25">
      <t>オウヨウ</t>
    </rPh>
    <rPh sb="25" eb="27">
      <t>モンダイ</t>
    </rPh>
    <rPh sb="31" eb="33">
      <t>テイバン</t>
    </rPh>
    <rPh sb="34" eb="36">
      <t>ジッカン</t>
    </rPh>
    <rPh sb="37" eb="38">
      <t>ワ</t>
    </rPh>
    <rPh sb="45" eb="46">
      <t>アン</t>
    </rPh>
    <rPh sb="47" eb="49">
      <t>タイヨウ</t>
    </rPh>
    <rPh sb="49" eb="51">
      <t>ネンスウ</t>
    </rPh>
    <rPh sb="52" eb="54">
      <t>サイショウ</t>
    </rPh>
    <rPh sb="54" eb="57">
      <t>コウバイスウ</t>
    </rPh>
    <rPh sb="59" eb="61">
      <t>ハンプク</t>
    </rPh>
    <rPh sb="61" eb="63">
      <t>トウシ</t>
    </rPh>
    <rPh sb="65" eb="67">
      <t>カテイ</t>
    </rPh>
    <rPh sb="72" eb="74">
      <t>ヒカク</t>
    </rPh>
    <phoneticPr fontId="3"/>
  </si>
  <si>
    <t>Y1</t>
    <phoneticPr fontId="3"/>
  </si>
  <si>
    <t>Y2</t>
    <phoneticPr fontId="3"/>
  </si>
  <si>
    <t>機械A</t>
    <rPh sb="0" eb="2">
      <t>キカイ</t>
    </rPh>
    <phoneticPr fontId="3"/>
  </si>
  <si>
    <t>①回目</t>
    <rPh sb="1" eb="3">
      <t>カイメ</t>
    </rPh>
    <phoneticPr fontId="3"/>
  </si>
  <si>
    <t>②回目</t>
    <rPh sb="1" eb="3">
      <t>カイメ</t>
    </rPh>
    <phoneticPr fontId="3"/>
  </si>
  <si>
    <t>③回目</t>
    <rPh sb="1" eb="3">
      <t>カイメ</t>
    </rPh>
    <phoneticPr fontId="3"/>
  </si>
  <si>
    <t>機械B</t>
    <rPh sb="0" eb="2">
      <t>キカイ</t>
    </rPh>
    <phoneticPr fontId="3"/>
  </si>
  <si>
    <t>機械の取得</t>
    <rPh sb="0" eb="2">
      <t>キカイ</t>
    </rPh>
    <rPh sb="3" eb="5">
      <t>シュトク</t>
    </rPh>
    <phoneticPr fontId="3"/>
  </si>
  <si>
    <t>機械の売却</t>
    <rPh sb="0" eb="2">
      <t>キカイ</t>
    </rPh>
    <rPh sb="3" eb="5">
      <t>バイキャク</t>
    </rPh>
    <phoneticPr fontId="3"/>
  </si>
  <si>
    <t>税引後現金支出費用</t>
    <rPh sb="0" eb="2">
      <t>ゼイビキ</t>
    </rPh>
    <rPh sb="2" eb="3">
      <t>ゴ</t>
    </rPh>
    <rPh sb="3" eb="5">
      <t>ゲンキン</t>
    </rPh>
    <rPh sb="5" eb="7">
      <t>シシュツ</t>
    </rPh>
    <rPh sb="7" eb="9">
      <t>ヒヨウ</t>
    </rPh>
    <phoneticPr fontId="3"/>
  </si>
  <si>
    <t>問1 WACCの計算</t>
    <rPh sb="0" eb="1">
      <t>トイ</t>
    </rPh>
    <rPh sb="8" eb="10">
      <t>ケイサン</t>
    </rPh>
    <phoneticPr fontId="3"/>
  </si>
  <si>
    <t>普通株</t>
    <rPh sb="0" eb="2">
      <t>フツウ</t>
    </rPh>
    <rPh sb="2" eb="3">
      <t>カブ</t>
    </rPh>
    <phoneticPr fontId="3"/>
  </si>
  <si>
    <t>問2 AB2案のNPVの比較</t>
    <rPh sb="0" eb="1">
      <t>トイ</t>
    </rPh>
    <rPh sb="6" eb="7">
      <t>アン</t>
    </rPh>
    <rPh sb="12" eb="14">
      <t>ヒカク</t>
    </rPh>
    <phoneticPr fontId="3"/>
  </si>
  <si>
    <t>問3 感度分析</t>
    <rPh sb="0" eb="1">
      <t>トイ</t>
    </rPh>
    <rPh sb="3" eb="5">
      <t>カンド</t>
    </rPh>
    <rPh sb="5" eb="7">
      <t>ブンセキ</t>
    </rPh>
    <phoneticPr fontId="3"/>
  </si>
  <si>
    <t>A案の方が</t>
    <rPh sb="1" eb="2">
      <t>アン</t>
    </rPh>
    <rPh sb="3" eb="4">
      <t>ホウ</t>
    </rPh>
    <phoneticPr fontId="3"/>
  </si>
  <si>
    <t>万円有利</t>
    <rPh sb="0" eb="2">
      <t>マンエン</t>
    </rPh>
    <rPh sb="2" eb="4">
      <t>ユウリ</t>
    </rPh>
    <phoneticPr fontId="3"/>
  </si>
  <si>
    <t>・問3は、当書で繰り返し問われる感度分析。優劣分岐のパターンでは、求める値をxとして方程式を解くことが鉄板。</t>
    <rPh sb="1" eb="2">
      <t>トイ</t>
    </rPh>
    <rPh sb="5" eb="6">
      <t>トウ</t>
    </rPh>
    <rPh sb="6" eb="7">
      <t>ショ</t>
    </rPh>
    <rPh sb="8" eb="9">
      <t>ク</t>
    </rPh>
    <rPh sb="10" eb="11">
      <t>カエ</t>
    </rPh>
    <rPh sb="12" eb="13">
      <t>ト</t>
    </rPh>
    <rPh sb="16" eb="18">
      <t>カンド</t>
    </rPh>
    <rPh sb="18" eb="20">
      <t>ブンセキ</t>
    </rPh>
    <rPh sb="21" eb="23">
      <t>ユウレツ</t>
    </rPh>
    <rPh sb="23" eb="25">
      <t>ブンキ</t>
    </rPh>
    <rPh sb="33" eb="34">
      <t>モト</t>
    </rPh>
    <rPh sb="36" eb="37">
      <t>アタイ</t>
    </rPh>
    <rPh sb="42" eb="45">
      <t>ホウテイシキ</t>
    </rPh>
    <rPh sb="46" eb="47">
      <t>ト</t>
    </rPh>
    <rPh sb="51" eb="53">
      <t>テッパン</t>
    </rPh>
    <phoneticPr fontId="3"/>
  </si>
  <si>
    <t>年金現価係数</t>
    <rPh sb="0" eb="2">
      <t>ネンキン</t>
    </rPh>
    <rPh sb="2" eb="4">
      <t>ゲンカ</t>
    </rPh>
    <rPh sb="4" eb="6">
      <t>ケイスウ</t>
    </rPh>
    <phoneticPr fontId="3"/>
  </si>
  <si>
    <t>現金支出費用のNPV</t>
    <rPh sb="0" eb="2">
      <t>ゲンキン</t>
    </rPh>
    <rPh sb="2" eb="4">
      <t>シシュツ</t>
    </rPh>
    <rPh sb="4" eb="6">
      <t>ヒヨウ</t>
    </rPh>
    <phoneticPr fontId="3"/>
  </si>
  <si>
    <t>x</t>
    <phoneticPr fontId="3"/>
  </si>
  <si>
    <t>求めるx</t>
    <rPh sb="0" eb="1">
      <t>モト</t>
    </rPh>
    <phoneticPr fontId="3"/>
  </si>
  <si>
    <t>→1,840万円以下であればA機械より有利。</t>
    <rPh sb="6" eb="8">
      <t>マンエン</t>
    </rPh>
    <rPh sb="8" eb="10">
      <t>イカ</t>
    </rPh>
    <rPh sb="15" eb="17">
      <t>キカイ</t>
    </rPh>
    <rPh sb="19" eb="21">
      <t>ユウリ</t>
    </rPh>
    <phoneticPr fontId="3"/>
  </si>
  <si>
    <t>第3章 CASE   品質原価計算</t>
    <rPh sb="0" eb="1">
      <t>ダイ</t>
    </rPh>
    <rPh sb="2" eb="3">
      <t>ショウ</t>
    </rPh>
    <rPh sb="11" eb="13">
      <t>ヒンシツ</t>
    </rPh>
    <rPh sb="13" eb="15">
      <t>ゲンカ</t>
    </rPh>
    <rPh sb="15" eb="17">
      <t>ケイサン</t>
    </rPh>
    <phoneticPr fontId="3"/>
  </si>
  <si>
    <t>問題⑱</t>
    <rPh sb="0" eb="2">
      <t>モンダイ</t>
    </rPh>
    <phoneticPr fontId="3"/>
  </si>
  <si>
    <t>・品質原価計算は、発生するコストを予防・評価・内部失敗・外部失敗の4つに分類し、狙った品質から見たコストの削減余地を考える論点。</t>
    <rPh sb="1" eb="3">
      <t>ヒンシツ</t>
    </rPh>
    <rPh sb="3" eb="5">
      <t>ゲンカ</t>
    </rPh>
    <rPh sb="5" eb="7">
      <t>ケイサン</t>
    </rPh>
    <rPh sb="9" eb="11">
      <t>ハッセイ</t>
    </rPh>
    <rPh sb="17" eb="19">
      <t>ヨボウ</t>
    </rPh>
    <rPh sb="20" eb="22">
      <t>ヒョウカ</t>
    </rPh>
    <rPh sb="23" eb="25">
      <t>ナイブ</t>
    </rPh>
    <rPh sb="25" eb="27">
      <t>シッパイ</t>
    </rPh>
    <rPh sb="28" eb="30">
      <t>ガイブ</t>
    </rPh>
    <rPh sb="30" eb="32">
      <t>シッパイ</t>
    </rPh>
    <rPh sb="36" eb="38">
      <t>ブンルイ</t>
    </rPh>
    <rPh sb="40" eb="41">
      <t>ネラ</t>
    </rPh>
    <rPh sb="43" eb="45">
      <t>ヒンシツ</t>
    </rPh>
    <rPh sb="47" eb="48">
      <t>ミ</t>
    </rPh>
    <rPh sb="53" eb="55">
      <t>サクゲン</t>
    </rPh>
    <rPh sb="55" eb="57">
      <t>ヨチ</t>
    </rPh>
    <rPh sb="58" eb="59">
      <t>カンガ</t>
    </rPh>
    <rPh sb="61" eb="63">
      <t>ロンテン</t>
    </rPh>
    <phoneticPr fontId="3"/>
  </si>
  <si>
    <t>・｢事例Ⅳ｣ではH  年に突然問われたことで周知されたが、次回いつ出題されるかは見当もつかない。</t>
    <rPh sb="2" eb="4">
      <t>ジレイ</t>
    </rPh>
    <rPh sb="11" eb="12">
      <t>ネン</t>
    </rPh>
    <rPh sb="13" eb="15">
      <t>トツゼン</t>
    </rPh>
    <rPh sb="15" eb="16">
      <t>ト</t>
    </rPh>
    <rPh sb="22" eb="24">
      <t>シュウチ</t>
    </rPh>
    <rPh sb="29" eb="31">
      <t>ジカイ</t>
    </rPh>
    <rPh sb="33" eb="35">
      <t>シュツダイ</t>
    </rPh>
    <rPh sb="40" eb="42">
      <t>ケントウ</t>
    </rPh>
    <phoneticPr fontId="3"/>
  </si>
  <si>
    <t>当エクセルでは各費用を分類し、SUMIFで集計してコストの増減を見る。</t>
    <rPh sb="0" eb="1">
      <t>トウ</t>
    </rPh>
    <rPh sb="7" eb="8">
      <t>カク</t>
    </rPh>
    <rPh sb="8" eb="10">
      <t>ヒヨウ</t>
    </rPh>
    <rPh sb="11" eb="13">
      <t>ブンルイ</t>
    </rPh>
    <rPh sb="21" eb="23">
      <t>シュウケイ</t>
    </rPh>
    <rPh sb="29" eb="31">
      <t>ゾウゲン</t>
    </rPh>
    <rPh sb="32" eb="33">
      <t>ミ</t>
    </rPh>
    <phoneticPr fontId="3"/>
  </si>
  <si>
    <t>他社製品品質調査費</t>
    <rPh sb="0" eb="2">
      <t>タシャ</t>
    </rPh>
    <rPh sb="2" eb="4">
      <t>セイヒン</t>
    </rPh>
    <rPh sb="4" eb="6">
      <t>ヒンシツ</t>
    </rPh>
    <rPh sb="6" eb="8">
      <t>チョウサ</t>
    </rPh>
    <rPh sb="8" eb="9">
      <t>ヒ</t>
    </rPh>
    <phoneticPr fontId="3"/>
  </si>
  <si>
    <t>始めは間違えて良いので、ここは答をカンニングし、少しずつ費用⇔コスト分類の対応イメージを掴む。※費用名はいくらでも作れるので、暗記してもダメ。</t>
    <rPh sb="0" eb="1">
      <t>ハジ</t>
    </rPh>
    <rPh sb="3" eb="5">
      <t>マチガ</t>
    </rPh>
    <rPh sb="7" eb="8">
      <t>ヨ</t>
    </rPh>
    <rPh sb="15" eb="16">
      <t>コタ</t>
    </rPh>
    <rPh sb="24" eb="25">
      <t>スコ</t>
    </rPh>
    <rPh sb="28" eb="30">
      <t>ヒヨウ</t>
    </rPh>
    <rPh sb="34" eb="36">
      <t>ブンルイ</t>
    </rPh>
    <rPh sb="37" eb="39">
      <t>タイオウ</t>
    </rPh>
    <rPh sb="44" eb="45">
      <t>ツカ</t>
    </rPh>
    <rPh sb="48" eb="50">
      <t>ヒヨウ</t>
    </rPh>
    <rPh sb="50" eb="51">
      <t>メイ</t>
    </rPh>
    <rPh sb="57" eb="58">
      <t>ツク</t>
    </rPh>
    <rPh sb="63" eb="65">
      <t>アンキ</t>
    </rPh>
    <phoneticPr fontId="3"/>
  </si>
  <si>
    <t>受入材料検査費</t>
    <rPh sb="0" eb="2">
      <t>ウケイレ</t>
    </rPh>
    <rPh sb="2" eb="4">
      <t>ザイリョウ</t>
    </rPh>
    <rPh sb="4" eb="6">
      <t>ケンサ</t>
    </rPh>
    <rPh sb="6" eb="7">
      <t>ヒ</t>
    </rPh>
    <phoneticPr fontId="3"/>
  </si>
  <si>
    <t>仕損費</t>
    <rPh sb="0" eb="2">
      <t>シソン</t>
    </rPh>
    <rPh sb="2" eb="3">
      <t>ヒ</t>
    </rPh>
    <phoneticPr fontId="3"/>
  </si>
  <si>
    <t>不良品手直費</t>
    <rPh sb="0" eb="1">
      <t>フ</t>
    </rPh>
    <rPh sb="1" eb="3">
      <t>リョウヒン</t>
    </rPh>
    <rPh sb="3" eb="5">
      <t>テナオ</t>
    </rPh>
    <rPh sb="5" eb="6">
      <t>ヒ</t>
    </rPh>
    <phoneticPr fontId="3"/>
  </si>
  <si>
    <t>販売製品補修費</t>
    <rPh sb="0" eb="2">
      <t>ハンバイ</t>
    </rPh>
    <rPh sb="2" eb="4">
      <t>セイヒン</t>
    </rPh>
    <rPh sb="4" eb="6">
      <t>ホシュウ</t>
    </rPh>
    <rPh sb="6" eb="7">
      <t>ヒ</t>
    </rPh>
    <phoneticPr fontId="3"/>
  </si>
  <si>
    <t>製品設計改善費</t>
    <rPh sb="0" eb="2">
      <t>セイヒン</t>
    </rPh>
    <rPh sb="2" eb="4">
      <t>セッケイ</t>
    </rPh>
    <rPh sb="4" eb="7">
      <t>カイゼンヒ</t>
    </rPh>
    <phoneticPr fontId="3"/>
  </si>
  <si>
    <t>工程完成品検査費</t>
    <rPh sb="0" eb="2">
      <t>コウテイ</t>
    </rPh>
    <rPh sb="2" eb="5">
      <t>カンセイヒン</t>
    </rPh>
    <rPh sb="5" eb="7">
      <t>ケンサ</t>
    </rPh>
    <rPh sb="7" eb="8">
      <t>ヒ</t>
    </rPh>
    <phoneticPr fontId="3"/>
  </si>
  <si>
    <t>品質保証教育費</t>
    <rPh sb="0" eb="2">
      <t>ヒンシツ</t>
    </rPh>
    <rPh sb="2" eb="4">
      <t>ホショウ</t>
    </rPh>
    <rPh sb="4" eb="7">
      <t>キョウイクヒ</t>
    </rPh>
    <phoneticPr fontId="3"/>
  </si>
  <si>
    <t>返品廃棄処分費</t>
    <rPh sb="0" eb="2">
      <t>ヘンピン</t>
    </rPh>
    <rPh sb="2" eb="4">
      <t>ハイキ</t>
    </rPh>
    <rPh sb="4" eb="6">
      <t>ショブン</t>
    </rPh>
    <rPh sb="6" eb="7">
      <t>ヒ</t>
    </rPh>
    <phoneticPr fontId="3"/>
  </si>
  <si>
    <t>製品出荷検査費</t>
    <rPh sb="0" eb="2">
      <t>セイヒン</t>
    </rPh>
    <rPh sb="2" eb="4">
      <t>シュッカ</t>
    </rPh>
    <rPh sb="4" eb="6">
      <t>ケンサ</t>
    </rPh>
    <rPh sb="6" eb="7">
      <t>ヒ</t>
    </rPh>
    <phoneticPr fontId="3"/>
  </si>
  <si>
    <t>20X1年</t>
    <rPh sb="4" eb="5">
      <t>ネン</t>
    </rPh>
    <phoneticPr fontId="3"/>
  </si>
  <si>
    <t>20X5年</t>
    <rPh sb="4" eb="5">
      <t>ネン</t>
    </rPh>
    <phoneticPr fontId="3"/>
  </si>
  <si>
    <t>①予防原価</t>
    <rPh sb="1" eb="3">
      <t>ヨボウ</t>
    </rPh>
    <rPh sb="3" eb="5">
      <t>ゲンカ</t>
    </rPh>
    <phoneticPr fontId="3"/>
  </si>
  <si>
    <t>②評価原価</t>
    <rPh sb="1" eb="3">
      <t>ヒョウカ</t>
    </rPh>
    <rPh sb="3" eb="5">
      <t>ゲンカ</t>
    </rPh>
    <phoneticPr fontId="3"/>
  </si>
  <si>
    <t>④内部失敗原価</t>
    <rPh sb="1" eb="3">
      <t>ナイブ</t>
    </rPh>
    <rPh sb="3" eb="5">
      <t>シッパイ</t>
    </rPh>
    <rPh sb="5" eb="7">
      <t>ゲンカ</t>
    </rPh>
    <phoneticPr fontId="3"/>
  </si>
  <si>
    <t>⑤外部失敗原価</t>
    <rPh sb="1" eb="3">
      <t>ガイブ</t>
    </rPh>
    <rPh sb="3" eb="5">
      <t>シッパイ</t>
    </rPh>
    <rPh sb="5" eb="7">
      <t>ゲンカ</t>
    </rPh>
    <phoneticPr fontId="3"/>
  </si>
  <si>
    <t>↓ここを手書き</t>
    <rPh sb="4" eb="6">
      <t>テガ</t>
    </rPh>
    <phoneticPr fontId="3"/>
  </si>
  <si>
    <t>小計</t>
    <rPh sb="0" eb="2">
      <t>ショウケイ</t>
    </rPh>
    <phoneticPr fontId="3"/>
  </si>
  <si>
    <t>増減</t>
    <rPh sb="0" eb="2">
      <t>ゾウゲン</t>
    </rPh>
    <phoneticPr fontId="3"/>
  </si>
  <si>
    <t>・活動基準原価計算は、イケカコや意思決定会計で扱うが、当試験では｢運営｣の物流センター論点であり、その流れで｢事例Ⅳ｣出題可能性がある。</t>
    <rPh sb="1" eb="3">
      <t>カツドウ</t>
    </rPh>
    <rPh sb="3" eb="5">
      <t>キジュン</t>
    </rPh>
    <rPh sb="5" eb="7">
      <t>ゲンカ</t>
    </rPh>
    <rPh sb="7" eb="9">
      <t>ケイサン</t>
    </rPh>
    <rPh sb="16" eb="18">
      <t>イシ</t>
    </rPh>
    <rPh sb="18" eb="20">
      <t>ケッテイ</t>
    </rPh>
    <rPh sb="20" eb="22">
      <t>カイケイ</t>
    </rPh>
    <rPh sb="23" eb="24">
      <t>アツカ</t>
    </rPh>
    <rPh sb="27" eb="28">
      <t>トウ</t>
    </rPh>
    <rPh sb="28" eb="30">
      <t>シケン</t>
    </rPh>
    <rPh sb="33" eb="35">
      <t>ウンエイ</t>
    </rPh>
    <rPh sb="37" eb="39">
      <t>ブツリュウ</t>
    </rPh>
    <rPh sb="43" eb="45">
      <t>ロンテン</t>
    </rPh>
    <rPh sb="51" eb="52">
      <t>ナガ</t>
    </rPh>
    <rPh sb="55" eb="57">
      <t>ジレイ</t>
    </rPh>
    <rPh sb="59" eb="61">
      <t>シュツダイ</t>
    </rPh>
    <rPh sb="61" eb="64">
      <t>カノウセイ</t>
    </rPh>
    <phoneticPr fontId="3"/>
  </si>
  <si>
    <t>・解き方としては、問題文の指示通りにコストを計算するだけ。伝統的な原価配賦よりも、正確・納得性が高いとの理屈を知っておけば、あとは現場対応でなんとかなる。</t>
    <rPh sb="1" eb="2">
      <t>ト</t>
    </rPh>
    <rPh sb="3" eb="4">
      <t>カタ</t>
    </rPh>
    <rPh sb="9" eb="12">
      <t>モンダイブン</t>
    </rPh>
    <rPh sb="13" eb="15">
      <t>シジ</t>
    </rPh>
    <rPh sb="15" eb="16">
      <t>トオ</t>
    </rPh>
    <rPh sb="22" eb="24">
      <t>ケイサン</t>
    </rPh>
    <rPh sb="29" eb="32">
      <t>デントウテキ</t>
    </rPh>
    <rPh sb="33" eb="35">
      <t>ゲンカ</t>
    </rPh>
    <rPh sb="35" eb="37">
      <t>ハイフ</t>
    </rPh>
    <rPh sb="41" eb="43">
      <t>セイカク</t>
    </rPh>
    <rPh sb="44" eb="47">
      <t>ナットクセイ</t>
    </rPh>
    <rPh sb="48" eb="49">
      <t>タカ</t>
    </rPh>
    <rPh sb="52" eb="54">
      <t>リクツ</t>
    </rPh>
    <rPh sb="55" eb="56">
      <t>シ</t>
    </rPh>
    <rPh sb="65" eb="67">
      <t>ゲンバ</t>
    </rPh>
    <rPh sb="67" eb="69">
      <t>タイオウ</t>
    </rPh>
    <phoneticPr fontId="3"/>
  </si>
  <si>
    <t>製品B</t>
    <rPh sb="0" eb="2">
      <t>セイヒン</t>
    </rPh>
    <phoneticPr fontId="3"/>
  </si>
  <si>
    <t>直接材料費</t>
    <rPh sb="0" eb="2">
      <t>チョクセツ</t>
    </rPh>
    <rPh sb="2" eb="5">
      <t>ザイリョウヒ</t>
    </rPh>
    <phoneticPr fontId="3"/>
  </si>
  <si>
    <t>直接労務費</t>
    <rPh sb="0" eb="2">
      <t>チョクセツ</t>
    </rPh>
    <rPh sb="2" eb="5">
      <t>ロウムヒ</t>
    </rPh>
    <phoneticPr fontId="3"/>
  </si>
  <si>
    <t>販売数量割合</t>
    <rPh sb="0" eb="2">
      <t>ハンバイ</t>
    </rPh>
    <rPh sb="2" eb="4">
      <t>スウリョウ</t>
    </rPh>
    <rPh sb="4" eb="6">
      <t>ワリアイ</t>
    </rPh>
    <phoneticPr fontId="3"/>
  </si>
  <si>
    <t>問1 組製品の前提から、製品別生産・販売量を逆算</t>
    <rPh sb="0" eb="1">
      <t>トイ</t>
    </rPh>
    <rPh sb="3" eb="4">
      <t>クミ</t>
    </rPh>
    <rPh sb="4" eb="6">
      <t>セイヒン</t>
    </rPh>
    <rPh sb="7" eb="9">
      <t>ゼンテイ</t>
    </rPh>
    <rPh sb="12" eb="14">
      <t>セイヒン</t>
    </rPh>
    <rPh sb="14" eb="15">
      <t>ベツ</t>
    </rPh>
    <rPh sb="15" eb="17">
      <t>セイサン</t>
    </rPh>
    <rPh sb="18" eb="20">
      <t>ハンバイ</t>
    </rPh>
    <rPh sb="20" eb="21">
      <t>リョウ</t>
    </rPh>
    <rPh sb="22" eb="24">
      <t>ギャクサン</t>
    </rPh>
    <phoneticPr fontId="3"/>
  </si>
  <si>
    <t>組製品の単価</t>
    <rPh sb="0" eb="1">
      <t>クミ</t>
    </rPh>
    <rPh sb="1" eb="3">
      <t>セイヒン</t>
    </rPh>
    <rPh sb="4" eb="6">
      <t>タンカ</t>
    </rPh>
    <phoneticPr fontId="3"/>
  </si>
  <si>
    <t>セット数</t>
    <rPh sb="3" eb="4">
      <t>スウ</t>
    </rPh>
    <phoneticPr fontId="3"/>
  </si>
  <si>
    <t>年間計画生産・販売数量</t>
    <rPh sb="0" eb="2">
      <t>ネンカン</t>
    </rPh>
    <rPh sb="2" eb="4">
      <t>ケイカク</t>
    </rPh>
    <rPh sb="4" eb="6">
      <t>セイサン</t>
    </rPh>
    <rPh sb="7" eb="9">
      <t>ハンバイ</t>
    </rPh>
    <rPh sb="9" eb="11">
      <t>スウリョウ</t>
    </rPh>
    <phoneticPr fontId="3"/>
  </si>
  <si>
    <t>年間予算売上額</t>
    <rPh sb="0" eb="2">
      <t>ネンカン</t>
    </rPh>
    <rPh sb="2" eb="4">
      <t>ヨサン</t>
    </rPh>
    <rPh sb="4" eb="6">
      <t>ウリアゲ</t>
    </rPh>
    <rPh sb="6" eb="7">
      <t>ガク</t>
    </rPh>
    <phoneticPr fontId="3"/>
  </si>
  <si>
    <t>製造間接費等年間予算額</t>
    <rPh sb="0" eb="2">
      <t>セイゾウ</t>
    </rPh>
    <rPh sb="2" eb="4">
      <t>カンセツ</t>
    </rPh>
    <rPh sb="4" eb="5">
      <t>ヒ</t>
    </rPh>
    <rPh sb="5" eb="6">
      <t>トウ</t>
    </rPh>
    <rPh sb="6" eb="8">
      <t>ネンカン</t>
    </rPh>
    <rPh sb="8" eb="10">
      <t>ヨサン</t>
    </rPh>
    <rPh sb="10" eb="11">
      <t>ガク</t>
    </rPh>
    <phoneticPr fontId="3"/>
  </si>
  <si>
    <t>各製品の単位あたり総原価</t>
    <rPh sb="0" eb="3">
      <t>カクセイヒン</t>
    </rPh>
    <rPh sb="4" eb="6">
      <t>タンイ</t>
    </rPh>
    <rPh sb="9" eb="12">
      <t>ソウゲンカ</t>
    </rPh>
    <phoneticPr fontId="3"/>
  </si>
  <si>
    <t>製品別の年間営業利益総額</t>
    <rPh sb="0" eb="2">
      <t>セイヒン</t>
    </rPh>
    <rPh sb="2" eb="3">
      <t>ベツ</t>
    </rPh>
    <rPh sb="4" eb="6">
      <t>ネンカン</t>
    </rPh>
    <rPh sb="6" eb="8">
      <t>エイギョウ</t>
    </rPh>
    <rPh sb="8" eb="10">
      <t>リエキ</t>
    </rPh>
    <rPh sb="10" eb="12">
      <t>ソウガク</t>
    </rPh>
    <phoneticPr fontId="3"/>
  </si>
  <si>
    <t>売上高営業利益率</t>
    <rPh sb="0" eb="2">
      <t>ウリアゲ</t>
    </rPh>
    <rPh sb="2" eb="3">
      <t>ダカ</t>
    </rPh>
    <rPh sb="3" eb="5">
      <t>エイギョウ</t>
    </rPh>
    <rPh sb="5" eb="7">
      <t>リエキ</t>
    </rPh>
    <rPh sb="7" eb="8">
      <t>リツ</t>
    </rPh>
    <phoneticPr fontId="3"/>
  </si>
  <si>
    <t>直接作業時間</t>
    <rPh sb="0" eb="2">
      <t>チョクセツ</t>
    </rPh>
    <rPh sb="2" eb="4">
      <t>サギョウ</t>
    </rPh>
    <rPh sb="4" eb="6">
      <t>ジカン</t>
    </rPh>
    <phoneticPr fontId="3"/>
  </si>
  <si>
    <t>製造間接費他</t>
    <rPh sb="0" eb="2">
      <t>セイゾウ</t>
    </rPh>
    <rPh sb="2" eb="4">
      <t>カンセツ</t>
    </rPh>
    <rPh sb="4" eb="5">
      <t>ヒ</t>
    </rPh>
    <rPh sb="5" eb="6">
      <t>ホカ</t>
    </rPh>
    <phoneticPr fontId="3"/>
  </si>
  <si>
    <t>製品別PL</t>
    <rPh sb="0" eb="2">
      <t>セイヒン</t>
    </rPh>
    <rPh sb="2" eb="3">
      <t>ベツ</t>
    </rPh>
    <phoneticPr fontId="3"/>
  </si>
  <si>
    <t>原価計(単位あたり)</t>
    <rPh sb="0" eb="2">
      <t>ゲンカ</t>
    </rPh>
    <rPh sb="2" eb="3">
      <t>ケイ</t>
    </rPh>
    <rPh sb="4" eb="6">
      <t>タンイ</t>
    </rPh>
    <phoneticPr fontId="3"/>
  </si>
  <si>
    <t>←予定配賦率から単価を求める</t>
    <rPh sb="1" eb="3">
      <t>ヨテイ</t>
    </rPh>
    <rPh sb="3" eb="5">
      <t>ハイフ</t>
    </rPh>
    <rPh sb="5" eb="6">
      <t>リツ</t>
    </rPh>
    <rPh sb="8" eb="10">
      <t>タンカ</t>
    </rPh>
    <rPh sb="11" eb="12">
      <t>モト</t>
    </rPh>
    <phoneticPr fontId="3"/>
  </si>
  <si>
    <t>製造間接費計</t>
    <rPh sb="0" eb="2">
      <t>セイゾウ</t>
    </rPh>
    <rPh sb="2" eb="4">
      <t>カンセツ</t>
    </rPh>
    <rPh sb="4" eb="5">
      <t>ヒ</t>
    </rPh>
    <rPh sb="5" eb="6">
      <t>ケイ</t>
    </rPh>
    <phoneticPr fontId="3"/>
  </si>
  <si>
    <t>活動ドライバー</t>
    <rPh sb="0" eb="2">
      <t>カツドウ</t>
    </rPh>
    <phoneticPr fontId="3"/>
  </si>
  <si>
    <t>ｈ</t>
    <phoneticPr fontId="3"/>
  </si>
  <si>
    <t>ｈ/台</t>
    <rPh sb="2" eb="3">
      <t>ダイ</t>
    </rPh>
    <phoneticPr fontId="3"/>
  </si>
  <si>
    <t>回</t>
    <rPh sb="0" eb="1">
      <t>カイ</t>
    </rPh>
    <phoneticPr fontId="3"/>
  </si>
  <si>
    <t>h</t>
    <phoneticPr fontId="3"/>
  </si>
  <si>
    <t>h</t>
    <phoneticPr fontId="3"/>
  </si>
  <si>
    <t>①機械作業CP</t>
    <rPh sb="1" eb="3">
      <t>キカイ</t>
    </rPh>
    <rPh sb="3" eb="5">
      <t>サギョウ</t>
    </rPh>
    <phoneticPr fontId="3"/>
  </si>
  <si>
    <t>②段取作業CP</t>
    <rPh sb="1" eb="3">
      <t>ダンド</t>
    </rPh>
    <rPh sb="3" eb="5">
      <t>サギョウ</t>
    </rPh>
    <phoneticPr fontId="3"/>
  </si>
  <si>
    <t>③生産技術CP</t>
    <rPh sb="1" eb="3">
      <t>セイサン</t>
    </rPh>
    <rPh sb="3" eb="5">
      <t>ギジュツ</t>
    </rPh>
    <phoneticPr fontId="3"/>
  </si>
  <si>
    <t>④材料倉庫CP</t>
    <rPh sb="1" eb="3">
      <t>ザイリョウ</t>
    </rPh>
    <rPh sb="3" eb="5">
      <t>ソウコ</t>
    </rPh>
    <phoneticPr fontId="3"/>
  </si>
  <si>
    <t>⑤品質保証CP</t>
    <rPh sb="1" eb="3">
      <t>ヒンシツ</t>
    </rPh>
    <rPh sb="3" eb="5">
      <t>ホショウ</t>
    </rPh>
    <phoneticPr fontId="3"/>
  </si>
  <si>
    <t>⑥包装出荷CP</t>
    <rPh sb="1" eb="3">
      <t>ホウソウ</t>
    </rPh>
    <rPh sb="3" eb="5">
      <t>シュッカ</t>
    </rPh>
    <phoneticPr fontId="3"/>
  </si>
  <si>
    <t>⑦管理活動CP</t>
    <rPh sb="1" eb="3">
      <t>カンリ</t>
    </rPh>
    <rPh sb="3" eb="5">
      <t>カツドウ</t>
    </rPh>
    <phoneticPr fontId="3"/>
  </si>
  <si>
    <t>←</t>
    <phoneticPr fontId="3"/>
  </si>
  <si>
    <t>A 直接作業時間</t>
    <rPh sb="2" eb="4">
      <t>チョクセツ</t>
    </rPh>
    <rPh sb="4" eb="6">
      <t>サギョウ</t>
    </rPh>
    <rPh sb="6" eb="8">
      <t>ジカン</t>
    </rPh>
    <phoneticPr fontId="3"/>
  </si>
  <si>
    <t>B 段取時間</t>
    <rPh sb="2" eb="4">
      <t>ダンド</t>
    </rPh>
    <rPh sb="4" eb="6">
      <t>ジカン</t>
    </rPh>
    <phoneticPr fontId="3"/>
  </si>
  <si>
    <t>C 製品仕様書作成時間</t>
    <rPh sb="2" eb="4">
      <t>セイヒン</t>
    </rPh>
    <rPh sb="4" eb="7">
      <t>シヨウショ</t>
    </rPh>
    <rPh sb="7" eb="9">
      <t>サクセイ</t>
    </rPh>
    <rPh sb="9" eb="11">
      <t>ジカン</t>
    </rPh>
    <phoneticPr fontId="3"/>
  </si>
  <si>
    <t>D 機械運転時間</t>
    <rPh sb="2" eb="4">
      <t>キカイ</t>
    </rPh>
    <rPh sb="4" eb="6">
      <t>ウンテン</t>
    </rPh>
    <rPh sb="6" eb="8">
      <t>ジカン</t>
    </rPh>
    <phoneticPr fontId="3"/>
  </si>
  <si>
    <t>E 直接材料出庫金額</t>
    <rPh sb="2" eb="4">
      <t>チョクセツ</t>
    </rPh>
    <rPh sb="4" eb="6">
      <t>ザイリョウ</t>
    </rPh>
    <rPh sb="6" eb="8">
      <t>シュッコ</t>
    </rPh>
    <rPh sb="8" eb="10">
      <t>キンガク</t>
    </rPh>
    <phoneticPr fontId="3"/>
  </si>
  <si>
    <t>F 抜取検査回数</t>
    <rPh sb="2" eb="4">
      <t>ヌキトリ</t>
    </rPh>
    <rPh sb="4" eb="6">
      <t>ケンサ</t>
    </rPh>
    <rPh sb="6" eb="8">
      <t>カイスウ</t>
    </rPh>
    <phoneticPr fontId="3"/>
  </si>
  <si>
    <t>G 出荷回数</t>
    <rPh sb="2" eb="4">
      <t>シュッカ</t>
    </rPh>
    <rPh sb="4" eb="6">
      <t>カイスウ</t>
    </rPh>
    <phoneticPr fontId="3"/>
  </si>
  <si>
    <t>活動基準原価計算による配賦額</t>
    <rPh sb="0" eb="2">
      <t>カツドウ</t>
    </rPh>
    <rPh sb="2" eb="4">
      <t>キジュン</t>
    </rPh>
    <rPh sb="4" eb="6">
      <t>ゲンカ</t>
    </rPh>
    <rPh sb="6" eb="8">
      <t>ケイサン</t>
    </rPh>
    <rPh sb="11" eb="13">
      <t>ハイフ</t>
    </rPh>
    <rPh sb="13" eb="14">
      <t>ガク</t>
    </rPh>
    <phoneticPr fontId="3"/>
  </si>
  <si>
    <t>C製品専用機械減価償却費</t>
    <rPh sb="1" eb="3">
      <t>セイヒン</t>
    </rPh>
    <rPh sb="3" eb="5">
      <t>センヨウ</t>
    </rPh>
    <rPh sb="5" eb="7">
      <t>キカイ</t>
    </rPh>
    <rPh sb="7" eb="9">
      <t>ゲンカ</t>
    </rPh>
    <rPh sb="9" eb="11">
      <t>ショウキャク</t>
    </rPh>
    <rPh sb="11" eb="12">
      <t>ヒ</t>
    </rPh>
    <phoneticPr fontId="3"/>
  </si>
  <si>
    <t>問3 活動基準原価計算による原価、営業利益の計算</t>
    <rPh sb="0" eb="1">
      <t>トイ</t>
    </rPh>
    <rPh sb="3" eb="5">
      <t>カツドウ</t>
    </rPh>
    <rPh sb="5" eb="7">
      <t>キジュン</t>
    </rPh>
    <rPh sb="7" eb="9">
      <t>ゲンカ</t>
    </rPh>
    <rPh sb="9" eb="11">
      <t>ケイサン</t>
    </rPh>
    <rPh sb="14" eb="16">
      <t>ゲンカ</t>
    </rPh>
    <rPh sb="17" eb="19">
      <t>エイギョウ</t>
    </rPh>
    <rPh sb="19" eb="21">
      <t>リエキ</t>
    </rPh>
    <rPh sb="22" eb="24">
      <t>ケイサン</t>
    </rPh>
    <phoneticPr fontId="3"/>
  </si>
  <si>
    <t>問4 製品ABCへの原価配賦額の差異分析</t>
    <rPh sb="0" eb="1">
      <t>トイ</t>
    </rPh>
    <rPh sb="3" eb="5">
      <t>セイヒン</t>
    </rPh>
    <rPh sb="10" eb="12">
      <t>ゲンカ</t>
    </rPh>
    <rPh sb="12" eb="14">
      <t>ハイフ</t>
    </rPh>
    <rPh sb="14" eb="15">
      <t>ガク</t>
    </rPh>
    <rPh sb="16" eb="18">
      <t>サイ</t>
    </rPh>
    <rPh sb="18" eb="20">
      <t>ブンセキ</t>
    </rPh>
    <phoneticPr fontId="3"/>
  </si>
  <si>
    <t>差異(単価)</t>
    <rPh sb="0" eb="2">
      <t>サイ</t>
    </rPh>
    <rPh sb="3" eb="5">
      <t>タンカ</t>
    </rPh>
    <phoneticPr fontId="3"/>
  </si>
  <si>
    <t>差異(総額)</t>
    <rPh sb="0" eb="2">
      <t>サイ</t>
    </rPh>
    <rPh sb="3" eb="5">
      <t>ソウガク</t>
    </rPh>
    <phoneticPr fontId="3"/>
  </si>
  <si>
    <t>過大</t>
    <rPh sb="0" eb="2">
      <t>カダイ</t>
    </rPh>
    <phoneticPr fontId="3"/>
  </si>
  <si>
    <t>過小</t>
    <rPh sb="0" eb="2">
      <t>カショウ</t>
    </rPh>
    <phoneticPr fontId="3"/>
  </si>
  <si>
    <t>に配賦されている</t>
    <rPh sb="1" eb="3">
      <t>ハイフ</t>
    </rPh>
    <phoneticPr fontId="3"/>
  </si>
  <si>
    <t>伝統的全部原価計算では</t>
    <rPh sb="0" eb="3">
      <t>デントウテキ</t>
    </rPh>
    <rPh sb="3" eb="5">
      <t>ゼンブ</t>
    </rPh>
    <rPh sb="5" eb="7">
      <t>ゲンカ</t>
    </rPh>
    <rPh sb="7" eb="9">
      <t>ケイサン</t>
    </rPh>
    <phoneticPr fontId="3"/>
  </si>
  <si>
    <t>問2 製品別・全部原価計算PLの作成 (虫食い算)</t>
    <rPh sb="0" eb="1">
      <t>トイ</t>
    </rPh>
    <rPh sb="3" eb="5">
      <t>セイヒン</t>
    </rPh>
    <rPh sb="5" eb="6">
      <t>ベツ</t>
    </rPh>
    <rPh sb="7" eb="9">
      <t>ゼンブ</t>
    </rPh>
    <rPh sb="9" eb="11">
      <t>ゲンカ</t>
    </rPh>
    <rPh sb="11" eb="13">
      <t>ケイサン</t>
    </rPh>
    <rPh sb="16" eb="18">
      <t>サクセイ</t>
    </rPh>
    <rPh sb="20" eb="22">
      <t>ムシク</t>
    </rPh>
    <rPh sb="23" eb="24">
      <t>サン</t>
    </rPh>
    <phoneticPr fontId="3"/>
  </si>
  <si>
    <t>○</t>
    <phoneticPr fontId="3"/>
  </si>
  <si>
    <t>○</t>
    <phoneticPr fontId="3"/>
  </si>
  <si>
    <t>反復投資</t>
    <rPh sb="0" eb="2">
      <t>ハンプク</t>
    </rPh>
    <rPh sb="2" eb="4">
      <t>トウシ</t>
    </rPh>
    <phoneticPr fontId="3"/>
  </si>
  <si>
    <t>固定製造間接費を回避可能⇔不能に区別する練習。当問では第2製造部長を追い出せるので、回避可能原価とする。</t>
    <rPh sb="0" eb="2">
      <t>コテイ</t>
    </rPh>
    <rPh sb="2" eb="4">
      <t>セイゾウ</t>
    </rPh>
    <rPh sb="4" eb="6">
      <t>カンセツ</t>
    </rPh>
    <rPh sb="6" eb="7">
      <t>ヒ</t>
    </rPh>
    <rPh sb="8" eb="10">
      <t>カイヒ</t>
    </rPh>
    <rPh sb="10" eb="12">
      <t>カノウ</t>
    </rPh>
    <rPh sb="13" eb="15">
      <t>フノウ</t>
    </rPh>
    <rPh sb="16" eb="18">
      <t>クベツ</t>
    </rPh>
    <rPh sb="20" eb="22">
      <t>レンシュウ</t>
    </rPh>
    <rPh sb="23" eb="24">
      <t>トウ</t>
    </rPh>
    <rPh sb="24" eb="25">
      <t>モン</t>
    </rPh>
    <rPh sb="27" eb="28">
      <t>ダイ</t>
    </rPh>
    <rPh sb="29" eb="31">
      <t>セイゾウ</t>
    </rPh>
    <rPh sb="31" eb="33">
      <t>ブチョウ</t>
    </rPh>
    <rPh sb="34" eb="35">
      <t>オ</t>
    </rPh>
    <rPh sb="36" eb="37">
      <t>ダ</t>
    </rPh>
    <rPh sb="42" eb="44">
      <t>カイヒ</t>
    </rPh>
    <rPh sb="44" eb="46">
      <t>カノウ</t>
    </rPh>
    <rPh sb="46" eb="48">
      <t>ゲンカ</t>
    </rPh>
    <phoneticPr fontId="3"/>
  </si>
  <si>
    <t>?</t>
    <phoneticPr fontId="3"/>
  </si>
  <si>
    <t xml:space="preserve">             ○減価償却費をそのままCIFに加算するため、直感的にわかる。</t>
    <rPh sb="14" eb="16">
      <t>ゲンカ</t>
    </rPh>
    <rPh sb="16" eb="18">
      <t>ショウキャク</t>
    </rPh>
    <rPh sb="18" eb="19">
      <t>ヒ</t>
    </rPh>
    <rPh sb="28" eb="30">
      <t>カサン</t>
    </rPh>
    <rPh sb="35" eb="38">
      <t>チョッカンテキ</t>
    </rPh>
    <phoneticPr fontId="3"/>
  </si>
  <si>
    <t xml:space="preserve">             ×定率法の場合、減価償却費が毎期変動するため、使いにくい。</t>
    <rPh sb="14" eb="16">
      <t>テイリツ</t>
    </rPh>
    <rPh sb="16" eb="17">
      <t>ホウ</t>
    </rPh>
    <rPh sb="18" eb="20">
      <t>バアイ</t>
    </rPh>
    <rPh sb="21" eb="23">
      <t>ゲンカ</t>
    </rPh>
    <rPh sb="23" eb="25">
      <t>ショウキャク</t>
    </rPh>
    <rPh sb="25" eb="26">
      <t>ヒ</t>
    </rPh>
    <rPh sb="27" eb="29">
      <t>マイキ</t>
    </rPh>
    <rPh sb="29" eb="31">
      <t>ヘンドウ</t>
    </rPh>
    <rPh sb="36" eb="37">
      <t>ツカ</t>
    </rPh>
    <phoneticPr fontId="3"/>
  </si>
  <si>
    <t xml:space="preserve">             ○簿記1級最新の解き方。タイムテーブルを使い、減価償却費が毎期変動しても対応できる。</t>
    <rPh sb="14" eb="16">
      <t>ボキ</t>
    </rPh>
    <rPh sb="17" eb="18">
      <t>キュウ</t>
    </rPh>
    <rPh sb="18" eb="20">
      <t>サイシン</t>
    </rPh>
    <rPh sb="21" eb="22">
      <t>ト</t>
    </rPh>
    <rPh sb="23" eb="24">
      <t>カタ</t>
    </rPh>
    <rPh sb="33" eb="34">
      <t>ツカ</t>
    </rPh>
    <rPh sb="36" eb="38">
      <t>ゲンカ</t>
    </rPh>
    <rPh sb="38" eb="40">
      <t>ショウキャク</t>
    </rPh>
    <rPh sb="40" eb="41">
      <t>ヒ</t>
    </rPh>
    <rPh sb="42" eb="44">
      <t>マイキ</t>
    </rPh>
    <rPh sb="44" eb="46">
      <t>ヘンドウ</t>
    </rPh>
    <rPh sb="49" eb="51">
      <t>タイオウ</t>
    </rPh>
    <phoneticPr fontId="3"/>
  </si>
  <si>
    <t xml:space="preserve">             ×減価償却費の×0.4（TS分）だけをCIFに加算するイメージがしにくい。診断士の問題の解説と一致するか不明。</t>
    <rPh sb="14" eb="16">
      <t>ゲンカ</t>
    </rPh>
    <rPh sb="16" eb="18">
      <t>ショウキャク</t>
    </rPh>
    <rPh sb="18" eb="19">
      <t>ヒ</t>
    </rPh>
    <rPh sb="27" eb="28">
      <t>ブン</t>
    </rPh>
    <rPh sb="36" eb="38">
      <t>カサン</t>
    </rPh>
    <rPh sb="50" eb="53">
      <t>シンダンシ</t>
    </rPh>
    <rPh sb="54" eb="56">
      <t>モンダイ</t>
    </rPh>
    <rPh sb="57" eb="59">
      <t>カイセツ</t>
    </rPh>
    <rPh sb="60" eb="62">
      <t>イッチ</t>
    </rPh>
    <rPh sb="65" eb="67">
      <t>フメイ</t>
    </rPh>
    <phoneticPr fontId="3"/>
  </si>
  <si>
    <t>コラム：税引後CIF BOXの作り方 (参考：新旧の比較) テキストP.79</t>
    <rPh sb="4" eb="6">
      <t>ゼイビキ</t>
    </rPh>
    <rPh sb="6" eb="7">
      <t>ゴ</t>
    </rPh>
    <rPh sb="15" eb="16">
      <t>ツク</t>
    </rPh>
    <rPh sb="17" eb="18">
      <t>カタ</t>
    </rPh>
    <rPh sb="20" eb="22">
      <t>サンコウ</t>
    </rPh>
    <rPh sb="23" eb="25">
      <t>シンキュウ</t>
    </rPh>
    <rPh sb="26" eb="28">
      <t>ヒカク</t>
    </rPh>
    <phoneticPr fontId="3"/>
  </si>
  <si>
    <t>▲数量値引</t>
    <rPh sb="1" eb="3">
      <t>スウリョウ</t>
    </rPh>
    <rPh sb="3" eb="5">
      <t>ネビ</t>
    </rPh>
    <phoneticPr fontId="3"/>
  </si>
  <si>
    <t>▲</t>
    <phoneticPr fontId="3"/>
  </si>
  <si>
    <t>○</t>
    <phoneticPr fontId="3"/>
  </si>
  <si>
    <t>▲他変動費</t>
    <rPh sb="1" eb="2">
      <t>ホカ</t>
    </rPh>
    <rPh sb="2" eb="4">
      <t>ヘンドウ</t>
    </rPh>
    <rPh sb="4" eb="5">
      <t>ヒ</t>
    </rPh>
    <phoneticPr fontId="3"/>
  </si>
  <si>
    <t>エクセル掲載</t>
    <rPh sb="4" eb="6">
      <t>ケイサイ</t>
    </rPh>
    <phoneticPr fontId="3"/>
  </si>
  <si>
    <t>★</t>
    <phoneticPr fontId="3"/>
  </si>
  <si>
    <t>◆⑤</t>
    <phoneticPr fontId="3"/>
  </si>
  <si>
    <t>◆⑯</t>
    <phoneticPr fontId="3"/>
  </si>
  <si>
    <t>★：当サイト上でエクセルを添付した問題。著作権を考慮し、10問にとどめた。</t>
    <rPh sb="2" eb="3">
      <t>トウ</t>
    </rPh>
    <rPh sb="6" eb="7">
      <t>ジョウ</t>
    </rPh>
    <rPh sb="13" eb="15">
      <t>テンプ</t>
    </rPh>
    <rPh sb="17" eb="19">
      <t>モンダイ</t>
    </rPh>
    <rPh sb="20" eb="23">
      <t>チョサクケン</t>
    </rPh>
    <rPh sb="24" eb="26">
      <t>コウリョ</t>
    </rPh>
    <rPh sb="30" eb="31">
      <t>モン</t>
    </rPh>
    <phoneticPr fontId="3"/>
  </si>
  <si>
    <t>◆：問題⑤追加加工、⑯リースは｢事例Ⅳ｣出題範囲外なので解かなくて良い。</t>
    <rPh sb="2" eb="4">
      <t>モンダイ</t>
    </rPh>
    <rPh sb="5" eb="7">
      <t>ツイカ</t>
    </rPh>
    <rPh sb="7" eb="9">
      <t>カコウ</t>
    </rPh>
    <rPh sb="16" eb="18">
      <t>ジレイ</t>
    </rPh>
    <rPh sb="20" eb="22">
      <t>シュツダイ</t>
    </rPh>
    <rPh sb="22" eb="24">
      <t>ハンイ</t>
    </rPh>
    <rPh sb="24" eb="25">
      <t>ガイ</t>
    </rPh>
    <rPh sb="28" eb="29">
      <t>ト</t>
    </rPh>
    <rPh sb="33" eb="34">
      <t>ヨ</t>
    </rPh>
    <phoneticPr fontId="3"/>
  </si>
  <si>
    <t>▲：簿記知識が必要、または計算が煩雑な箇所。答えを先に見る方が良い。</t>
    <rPh sb="2" eb="4">
      <t>ボキ</t>
    </rPh>
    <rPh sb="4" eb="6">
      <t>チシキ</t>
    </rPh>
    <rPh sb="7" eb="9">
      <t>ヒツヨウ</t>
    </rPh>
    <rPh sb="13" eb="15">
      <t>ケイサン</t>
    </rPh>
    <rPh sb="16" eb="18">
      <t>ハンザツ</t>
    </rPh>
    <rPh sb="19" eb="21">
      <t>カショ</t>
    </rPh>
    <rPh sb="22" eb="23">
      <t>コタ</t>
    </rPh>
    <rPh sb="25" eb="26">
      <t>サキ</t>
    </rPh>
    <rPh sb="27" eb="28">
      <t>ミ</t>
    </rPh>
    <rPh sb="29" eb="30">
      <t>ホウ</t>
    </rPh>
    <rPh sb="31" eb="32">
      <t>ヨ</t>
    </rPh>
    <phoneticPr fontId="3"/>
  </si>
  <si>
    <t>A</t>
    <phoneticPr fontId="3"/>
  </si>
  <si>
    <t xml:space="preserve">  年間発注回数をxと置いて方程式を解いても同じ答えになるので、そちらでも解いて納得しておくと、尚可。</t>
    <rPh sb="2" eb="4">
      <t>ネンカン</t>
    </rPh>
    <rPh sb="4" eb="6">
      <t>ハッチュウ</t>
    </rPh>
    <rPh sb="6" eb="8">
      <t>カイスウ</t>
    </rPh>
    <rPh sb="11" eb="12">
      <t>オ</t>
    </rPh>
    <rPh sb="14" eb="17">
      <t>ホウテイシキ</t>
    </rPh>
    <rPh sb="18" eb="19">
      <t>ト</t>
    </rPh>
    <rPh sb="22" eb="23">
      <t>オナ</t>
    </rPh>
    <rPh sb="24" eb="25">
      <t>コタ</t>
    </rPh>
    <rPh sb="37" eb="38">
      <t>ト</t>
    </rPh>
    <rPh sb="40" eb="42">
      <t>ナットク</t>
    </rPh>
    <rPh sb="48" eb="50">
      <t>ナオカ</t>
    </rPh>
    <phoneticPr fontId="3"/>
  </si>
  <si>
    <t>※年間1,000kgを240kgで割ると、年間発注回数＝4.16666・・となる。</t>
    <rPh sb="1" eb="3">
      <t>ネンカン</t>
    </rPh>
    <rPh sb="17" eb="18">
      <t>ワ</t>
    </rPh>
    <rPh sb="21" eb="23">
      <t>ネンカン</t>
    </rPh>
    <rPh sb="23" eb="25">
      <t>ハッチュウ</t>
    </rPh>
    <rPh sb="25" eb="27">
      <t>カイスウ</t>
    </rPh>
    <phoneticPr fontId="3"/>
  </si>
  <si>
    <t>/2</t>
    <phoneticPr fontId="3"/>
  </si>
  <si>
    <t>L</t>
    <phoneticPr fontId="3"/>
  </si>
  <si>
    <r>
      <t>発注量</t>
    </r>
    <r>
      <rPr>
        <u/>
        <sz val="10"/>
        <color theme="1"/>
        <rFont val="游ゴシック"/>
        <family val="3"/>
        <charset val="128"/>
        <scheme val="minor"/>
      </rPr>
      <t>÷2</t>
    </r>
    <rPh sb="0" eb="2">
      <t>ハッチュウ</t>
    </rPh>
    <rPh sb="2" eb="3">
      <t>リョウ</t>
    </rPh>
    <phoneticPr fontId="3"/>
  </si>
  <si>
    <t>x=</t>
    <phoneticPr fontId="3"/>
  </si>
  <si>
    <t>方程式を解く</t>
    <rPh sb="0" eb="3">
      <t>ホウテイシキ</t>
    </rPh>
    <rPh sb="4" eb="5">
      <t>ト</t>
    </rPh>
    <phoneticPr fontId="3"/>
  </si>
  <si>
    <t>年平均保管量の計算</t>
    <rPh sb="0" eb="1">
      <t>ネン</t>
    </rPh>
    <rPh sb="1" eb="3">
      <t>ヘイキン</t>
    </rPh>
    <rPh sb="3" eb="6">
      <t>ホカンリョウ</t>
    </rPh>
    <rPh sb="7" eb="9">
      <t>ケイサン</t>
    </rPh>
    <phoneticPr fontId="3"/>
  </si>
  <si>
    <t>×1/2 x</t>
    <phoneticPr fontId="3"/>
  </si>
  <si>
    <t>保管費</t>
    <rPh sb="0" eb="2">
      <t>ホカン</t>
    </rPh>
    <rPh sb="2" eb="3">
      <t>ヒ</t>
    </rPh>
    <phoneticPr fontId="3"/>
  </si>
  <si>
    <t>年鑑保管費の資本コスト</t>
    <rPh sb="0" eb="2">
      <t>ネンカン</t>
    </rPh>
    <rPh sb="2" eb="4">
      <t>ホカン</t>
    </rPh>
    <rPh sb="4" eb="5">
      <t>ヒ</t>
    </rPh>
    <rPh sb="6" eb="8">
      <t>シホン</t>
    </rPh>
    <phoneticPr fontId="3"/>
  </si>
  <si>
    <t>年間保管料</t>
    <rPh sb="0" eb="2">
      <t>ネンカン</t>
    </rPh>
    <rPh sb="2" eb="5">
      <t>ホカンリョウ</t>
    </rPh>
    <phoneticPr fontId="3"/>
  </si>
  <si>
    <t>同額原価→非関連</t>
    <rPh sb="0" eb="2">
      <t>ドウガク</t>
    </rPh>
    <rPh sb="2" eb="4">
      <t>ゲンカ</t>
    </rPh>
    <rPh sb="5" eb="6">
      <t>ヒ</t>
    </rPh>
    <rPh sb="6" eb="8">
      <t>カンレン</t>
    </rPh>
    <phoneticPr fontId="3"/>
  </si>
  <si>
    <t>材料1kgあたりの年間火災保険料</t>
    <rPh sb="0" eb="2">
      <t>ザイリョウ</t>
    </rPh>
    <rPh sb="9" eb="11">
      <t>ネンカン</t>
    </rPh>
    <rPh sb="11" eb="13">
      <t>カサイ</t>
    </rPh>
    <rPh sb="13" eb="16">
      <t>ホケンリョウ</t>
    </rPh>
    <phoneticPr fontId="3"/>
  </si>
  <si>
    <t>固定費→非関連原価</t>
    <rPh sb="0" eb="2">
      <t>コテイ</t>
    </rPh>
    <rPh sb="2" eb="3">
      <t>ヒ</t>
    </rPh>
    <rPh sb="4" eb="5">
      <t>ヒ</t>
    </rPh>
    <rPh sb="5" eb="7">
      <t>カンレン</t>
    </rPh>
    <rPh sb="7" eb="9">
      <t>ゲンカ</t>
    </rPh>
    <phoneticPr fontId="3"/>
  </si>
  <si>
    <t>材料倉庫の電灯量の基本料金年額</t>
    <rPh sb="0" eb="2">
      <t>ザイリョウ</t>
    </rPh>
    <rPh sb="2" eb="4">
      <t>ソウコ</t>
    </rPh>
    <rPh sb="5" eb="7">
      <t>デントウ</t>
    </rPh>
    <rPh sb="7" eb="8">
      <t>リョウ</t>
    </rPh>
    <rPh sb="9" eb="11">
      <t>キホン</t>
    </rPh>
    <rPh sb="11" eb="13">
      <t>リョウキン</t>
    </rPh>
    <rPh sb="13" eb="15">
      <t>ネンガク</t>
    </rPh>
    <phoneticPr fontId="3"/>
  </si>
  <si>
    <t>材料倉庫の年間減価償却費</t>
    <rPh sb="0" eb="2">
      <t>ザイリョウ</t>
    </rPh>
    <rPh sb="2" eb="4">
      <t>ソウコ</t>
    </rPh>
    <rPh sb="5" eb="7">
      <t>ネンカン</t>
    </rPh>
    <rPh sb="7" eb="9">
      <t>ゲンカ</t>
    </rPh>
    <rPh sb="9" eb="11">
      <t>ショウキャク</t>
    </rPh>
    <rPh sb="11" eb="12">
      <t>ヒ</t>
    </rPh>
    <phoneticPr fontId="3"/>
  </si>
  <si>
    <t>×1000／L</t>
    <phoneticPr fontId="3"/>
  </si>
  <si>
    <t>発注費</t>
    <rPh sb="0" eb="2">
      <t>ハッチュウ</t>
    </rPh>
    <rPh sb="2" eb="3">
      <t>ヒ</t>
    </rPh>
    <phoneticPr fontId="3"/>
  </si>
  <si>
    <t>発注1回あたりの事務用消耗品費</t>
    <rPh sb="0" eb="2">
      <t>ハッチュウ</t>
    </rPh>
    <rPh sb="3" eb="4">
      <t>カイ</t>
    </rPh>
    <rPh sb="8" eb="11">
      <t>ジムヨウ</t>
    </rPh>
    <rPh sb="11" eb="13">
      <t>ショウモウ</t>
    </rPh>
    <rPh sb="13" eb="14">
      <t>ヒン</t>
    </rPh>
    <rPh sb="14" eb="15">
      <t>ヒ</t>
    </rPh>
    <phoneticPr fontId="3"/>
  </si>
  <si>
    <t>年間発注費</t>
    <rPh sb="0" eb="2">
      <t>ネンカン</t>
    </rPh>
    <rPh sb="2" eb="4">
      <t>ハッチュウ</t>
    </rPh>
    <rPh sb="4" eb="5">
      <t>ヒ</t>
    </rPh>
    <phoneticPr fontId="3"/>
  </si>
  <si>
    <t>発注1回あたりの通信費</t>
    <rPh sb="0" eb="2">
      <t>ハッチュウ</t>
    </rPh>
    <rPh sb="3" eb="4">
      <t>カイ</t>
    </rPh>
    <rPh sb="8" eb="11">
      <t>ツウシンヒ</t>
    </rPh>
    <phoneticPr fontId="3"/>
  </si>
  <si>
    <t>1kgあたりの購入原価</t>
    <rPh sb="7" eb="9">
      <t>コウニュウ</t>
    </rPh>
    <rPh sb="9" eb="11">
      <t>ゲンカ</t>
    </rPh>
    <phoneticPr fontId="3"/>
  </si>
  <si>
    <t>発注量をLと置き、年間発注費・保管費を求める。</t>
    <rPh sb="0" eb="2">
      <t>ハッチュウ</t>
    </rPh>
    <rPh sb="2" eb="3">
      <t>リョウ</t>
    </rPh>
    <rPh sb="6" eb="7">
      <t>オ</t>
    </rPh>
    <rPh sb="9" eb="11">
      <t>ネンカン</t>
    </rPh>
    <rPh sb="11" eb="13">
      <t>ハッチュウ</t>
    </rPh>
    <rPh sb="13" eb="14">
      <t>ヒ</t>
    </rPh>
    <rPh sb="15" eb="17">
      <t>ホカン</t>
    </rPh>
    <rPh sb="17" eb="18">
      <t>ヒ</t>
    </rPh>
    <rPh sb="19" eb="20">
      <t>モト</t>
    </rPh>
    <phoneticPr fontId="3"/>
  </si>
  <si>
    <t>年間予定総消費量</t>
    <rPh sb="0" eb="2">
      <t>ネンカン</t>
    </rPh>
    <rPh sb="2" eb="4">
      <t>ヨテイ</t>
    </rPh>
    <rPh sb="4" eb="5">
      <t>ソウ</t>
    </rPh>
    <rPh sb="5" eb="8">
      <t>ショウヒリョウ</t>
    </rPh>
    <phoneticPr fontId="3"/>
  </si>
  <si>
    <t>捻り問題に対応するため、｢公式で解く｣ことはできれば避けたい。なお方程式はx2乗となるため、√計算のできる電卓を選んでおく。</t>
    <rPh sb="0" eb="1">
      <t>ヒネ</t>
    </rPh>
    <rPh sb="2" eb="4">
      <t>モンダイ</t>
    </rPh>
    <rPh sb="5" eb="7">
      <t>タイオウ</t>
    </rPh>
    <rPh sb="13" eb="15">
      <t>コウシキ</t>
    </rPh>
    <rPh sb="16" eb="17">
      <t>ト</t>
    </rPh>
    <rPh sb="26" eb="27">
      <t>サ</t>
    </rPh>
    <rPh sb="33" eb="36">
      <t>ホウテイシキ</t>
    </rPh>
    <rPh sb="39" eb="40">
      <t>ジョウ</t>
    </rPh>
    <rPh sb="47" eb="49">
      <t>ケイサン</t>
    </rPh>
    <rPh sb="53" eb="55">
      <t>デンタク</t>
    </rPh>
    <rPh sb="56" eb="57">
      <t>エラ</t>
    </rPh>
    <phoneticPr fontId="3"/>
  </si>
  <si>
    <t>経済的発注量は、診断士試験では｢運営｣の計算問題。でも、費用のトレードオフ関係＝2者の費用が一致する点xを方程式で求める点で、｢優劣分岐点｣と同じため、セットで覚えておくのは一理あり。</t>
    <rPh sb="0" eb="3">
      <t>ケイザイテキ</t>
    </rPh>
    <rPh sb="3" eb="6">
      <t>ハッチュウリョウ</t>
    </rPh>
    <rPh sb="8" eb="11">
      <t>シンダンシ</t>
    </rPh>
    <rPh sb="11" eb="13">
      <t>シケン</t>
    </rPh>
    <rPh sb="16" eb="18">
      <t>ウンエイ</t>
    </rPh>
    <rPh sb="20" eb="22">
      <t>ケイサン</t>
    </rPh>
    <rPh sb="22" eb="24">
      <t>モンダイ</t>
    </rPh>
    <rPh sb="28" eb="30">
      <t>ヒヨウ</t>
    </rPh>
    <rPh sb="37" eb="39">
      <t>カンケイ</t>
    </rPh>
    <rPh sb="41" eb="42">
      <t>シャ</t>
    </rPh>
    <rPh sb="43" eb="45">
      <t>ヒヨウ</t>
    </rPh>
    <rPh sb="46" eb="48">
      <t>イッチ</t>
    </rPh>
    <rPh sb="50" eb="51">
      <t>テン</t>
    </rPh>
    <rPh sb="53" eb="56">
      <t>ホウテイシキ</t>
    </rPh>
    <rPh sb="57" eb="58">
      <t>モト</t>
    </rPh>
    <rPh sb="60" eb="61">
      <t>テン</t>
    </rPh>
    <rPh sb="64" eb="66">
      <t>ユウレツ</t>
    </rPh>
    <rPh sb="66" eb="69">
      <t>ブンキテン</t>
    </rPh>
    <rPh sb="71" eb="72">
      <t>オナ</t>
    </rPh>
    <rPh sb="80" eb="81">
      <t>オボ</t>
    </rPh>
    <rPh sb="87" eb="89">
      <t>イチリ</t>
    </rPh>
    <phoneticPr fontId="3"/>
  </si>
  <si>
    <t>CASE8 経済的発注量 P.37</t>
    <rPh sb="6" eb="9">
      <t>ケイザイテキ</t>
    </rPh>
    <rPh sb="9" eb="12">
      <t>ハッチュウリョウ</t>
    </rPh>
    <phoneticPr fontId="3"/>
  </si>
  <si>
    <t>診断士｢事例Ⅳ｣ではかなりの確率で問われるため、もし苦手な場合は理解できるまで講師に質問する方が良い。</t>
    <rPh sb="0" eb="3">
      <t>シンダンシ</t>
    </rPh>
    <rPh sb="4" eb="6">
      <t>ジレイ</t>
    </rPh>
    <rPh sb="14" eb="16">
      <t>カクリツ</t>
    </rPh>
    <rPh sb="17" eb="18">
      <t>ト</t>
    </rPh>
    <rPh sb="26" eb="28">
      <t>ニガテ</t>
    </rPh>
    <rPh sb="29" eb="31">
      <t>バアイ</t>
    </rPh>
    <rPh sb="32" eb="34">
      <t>リカイ</t>
    </rPh>
    <rPh sb="39" eb="41">
      <t>コウシ</t>
    </rPh>
    <rPh sb="42" eb="44">
      <t>シツモン</t>
    </rPh>
    <rPh sb="46" eb="47">
      <t>ホウ</t>
    </rPh>
    <rPh sb="48" eb="49">
      <t>ヨ</t>
    </rPh>
    <phoneticPr fontId="3"/>
  </si>
  <si>
    <t>製品Bは問題文では一見赤字に見えるが、製品貢献利益はプラスなので、廃止しない。</t>
    <rPh sb="0" eb="2">
      <t>セイヒン</t>
    </rPh>
    <rPh sb="4" eb="7">
      <t>モンダイブン</t>
    </rPh>
    <rPh sb="9" eb="11">
      <t>イッケン</t>
    </rPh>
    <rPh sb="11" eb="13">
      <t>アカジ</t>
    </rPh>
    <rPh sb="14" eb="15">
      <t>ミ</t>
    </rPh>
    <rPh sb="19" eb="21">
      <t>セイヒン</t>
    </rPh>
    <rPh sb="21" eb="23">
      <t>コウケン</t>
    </rPh>
    <rPh sb="23" eb="25">
      <t>リエキ</t>
    </rPh>
    <rPh sb="33" eb="35">
      <t>ハイシ</t>
    </rPh>
    <phoneticPr fontId="3"/>
  </si>
  <si>
    <t>一般管理費</t>
    <rPh sb="0" eb="2">
      <t>イッパン</t>
    </rPh>
    <rPh sb="2" eb="5">
      <t>カンリヒ</t>
    </rPh>
    <phoneticPr fontId="3"/>
  </si>
  <si>
    <t>ここは各製品に配賦しない</t>
    <rPh sb="3" eb="4">
      <t>カク</t>
    </rPh>
    <rPh sb="4" eb="6">
      <t>セイヒン</t>
    </rPh>
    <rPh sb="7" eb="9">
      <t>ハイフ</t>
    </rPh>
    <phoneticPr fontId="3"/>
  </si>
  <si>
    <t>給料</t>
    <rPh sb="0" eb="2">
      <t>キュウリョウ</t>
    </rPh>
    <phoneticPr fontId="3"/>
  </si>
  <si>
    <t>共通固定費</t>
    <rPh sb="0" eb="2">
      <t>キョウツウ</t>
    </rPh>
    <rPh sb="2" eb="4">
      <t>コテイ</t>
    </rPh>
    <rPh sb="4" eb="5">
      <t>ヒ</t>
    </rPh>
    <phoneticPr fontId="3"/>
  </si>
  <si>
    <t>製品貢献利益</t>
    <rPh sb="0" eb="2">
      <t>セイヒン</t>
    </rPh>
    <rPh sb="2" eb="4">
      <t>コウケン</t>
    </rPh>
    <rPh sb="4" eb="6">
      <t>リエキ</t>
    </rPh>
    <phoneticPr fontId="3"/>
  </si>
  <si>
    <t>保険料</t>
    <rPh sb="0" eb="3">
      <t>ホケンリョウ</t>
    </rPh>
    <phoneticPr fontId="3"/>
  </si>
  <si>
    <t>広告宣伝費</t>
    <rPh sb="0" eb="2">
      <t>コウコク</t>
    </rPh>
    <rPh sb="2" eb="5">
      <t>センデンヒ</t>
    </rPh>
    <phoneticPr fontId="3"/>
  </si>
  <si>
    <t>個別固定費</t>
    <rPh sb="0" eb="2">
      <t>コベツ</t>
    </rPh>
    <rPh sb="2" eb="4">
      <t>コテイ</t>
    </rPh>
    <rPh sb="4" eb="5">
      <t>ヒ</t>
    </rPh>
    <phoneticPr fontId="3"/>
  </si>
  <si>
    <t>単位：千円</t>
    <rPh sb="0" eb="2">
      <t>タンイ</t>
    </rPh>
    <rPh sb="3" eb="5">
      <t>センエン</t>
    </rPh>
    <phoneticPr fontId="3"/>
  </si>
  <si>
    <t>解き方としては、共通固定費を除き、個別固定費までを考慮した｢製品貢献利益｣の±で判断する。</t>
    <rPh sb="0" eb="1">
      <t>ト</t>
    </rPh>
    <rPh sb="2" eb="3">
      <t>カタ</t>
    </rPh>
    <rPh sb="8" eb="10">
      <t>キョウツウ</t>
    </rPh>
    <rPh sb="10" eb="12">
      <t>コテイ</t>
    </rPh>
    <rPh sb="12" eb="13">
      <t>ヒ</t>
    </rPh>
    <rPh sb="14" eb="15">
      <t>ノゾ</t>
    </rPh>
    <rPh sb="17" eb="19">
      <t>コベツ</t>
    </rPh>
    <rPh sb="19" eb="21">
      <t>コテイ</t>
    </rPh>
    <rPh sb="21" eb="22">
      <t>ヒ</t>
    </rPh>
    <rPh sb="25" eb="27">
      <t>コウリョ</t>
    </rPh>
    <rPh sb="30" eb="32">
      <t>セイヒン</t>
    </rPh>
    <rPh sb="32" eb="34">
      <t>コウケン</t>
    </rPh>
    <rPh sb="34" eb="36">
      <t>リエキ</t>
    </rPh>
    <rPh sb="40" eb="42">
      <t>ハンダン</t>
    </rPh>
    <phoneticPr fontId="3"/>
  </si>
  <si>
    <t>直接原価計算PLを使う｢セグメント損益｣は、CVP分析の応用論点と考えると良い。</t>
    <rPh sb="0" eb="2">
      <t>チョクセツ</t>
    </rPh>
    <rPh sb="2" eb="4">
      <t>ゲンカ</t>
    </rPh>
    <rPh sb="4" eb="6">
      <t>ケイサン</t>
    </rPh>
    <rPh sb="9" eb="10">
      <t>ツカ</t>
    </rPh>
    <rPh sb="17" eb="19">
      <t>ソンエキ</t>
    </rPh>
    <rPh sb="25" eb="27">
      <t>ブンセキ</t>
    </rPh>
    <rPh sb="28" eb="30">
      <t>オウヨウ</t>
    </rPh>
    <rPh sb="30" eb="32">
      <t>ロンテン</t>
    </rPh>
    <rPh sb="33" eb="34">
      <t>カンガ</t>
    </rPh>
    <rPh sb="37" eb="38">
      <t>ヨ</t>
    </rPh>
    <phoneticPr fontId="3"/>
  </si>
  <si>
    <t>CASE7 セグメントの存廃 P.34</t>
    <rPh sb="12" eb="14">
      <t>ソンパイ</t>
    </rPh>
    <phoneticPr fontId="3"/>
  </si>
  <si>
    <t>円大きい、製品Bとして販売する。</t>
    <rPh sb="0" eb="1">
      <t>エン</t>
    </rPh>
    <rPh sb="1" eb="2">
      <t>オオ</t>
    </rPh>
    <rPh sb="5" eb="7">
      <t>セイヒン</t>
    </rPh>
    <rPh sb="11" eb="13">
      <t>ハンバイ</t>
    </rPh>
    <phoneticPr fontId="3"/>
  </si>
  <si>
    <t>差額利益が</t>
    <rPh sb="0" eb="2">
      <t>サガク</t>
    </rPh>
    <rPh sb="2" eb="4">
      <t>リエキ</t>
    </rPh>
    <phoneticPr fontId="3"/>
  </si>
  <si>
    <t>差額利益</t>
    <rPh sb="0" eb="2">
      <t>サガク</t>
    </rPh>
    <rPh sb="2" eb="4">
      <t>リエキ</t>
    </rPh>
    <phoneticPr fontId="3"/>
  </si>
  <si>
    <t>金額</t>
    <rPh sb="0" eb="2">
      <t>キンガク</t>
    </rPh>
    <phoneticPr fontId="3"/>
  </si>
  <si>
    <t>製品Cとして販売</t>
    <rPh sb="0" eb="2">
      <t>セイヒン</t>
    </rPh>
    <rPh sb="6" eb="8">
      <t>ハンバイ</t>
    </rPh>
    <phoneticPr fontId="3"/>
  </si>
  <si>
    <t>製品Bとして販売</t>
    <rPh sb="0" eb="2">
      <t>セイヒン</t>
    </rPh>
    <rPh sb="6" eb="8">
      <t>ハンバイ</t>
    </rPh>
    <phoneticPr fontId="3"/>
  </si>
  <si>
    <t>→製品Bとして販売する場合と、さらにコストをかけ製品Cとして販売する場合の｢差額原価｣を考える。</t>
    <rPh sb="1" eb="3">
      <t>セイヒン</t>
    </rPh>
    <rPh sb="7" eb="9">
      <t>ハンバイ</t>
    </rPh>
    <rPh sb="11" eb="13">
      <t>バアイ</t>
    </rPh>
    <rPh sb="24" eb="26">
      <t>セイヒン</t>
    </rPh>
    <rPh sb="30" eb="32">
      <t>ハンバイ</t>
    </rPh>
    <rPh sb="34" eb="36">
      <t>バアイ</t>
    </rPh>
    <rPh sb="38" eb="40">
      <t>サガク</t>
    </rPh>
    <rPh sb="40" eb="42">
      <t>ゲンカ</t>
    </rPh>
    <rPh sb="44" eb="45">
      <t>カンガ</t>
    </rPh>
    <phoneticPr fontId="3"/>
  </si>
  <si>
    <t>※簿記1級では、連結原価を製品A⇔Bにどう配賦するかの計算を深く問われるが、診断士試験では出題例がないため、対策は不要。</t>
    <rPh sb="1" eb="3">
      <t>ボキ</t>
    </rPh>
    <rPh sb="4" eb="5">
      <t>キュウ</t>
    </rPh>
    <rPh sb="8" eb="10">
      <t>レンケツ</t>
    </rPh>
    <rPh sb="10" eb="12">
      <t>ゲンカ</t>
    </rPh>
    <rPh sb="13" eb="15">
      <t>セイヒン</t>
    </rPh>
    <rPh sb="21" eb="23">
      <t>ハイフ</t>
    </rPh>
    <rPh sb="27" eb="29">
      <t>ケイサン</t>
    </rPh>
    <rPh sb="30" eb="31">
      <t>フカ</t>
    </rPh>
    <rPh sb="32" eb="33">
      <t>ト</t>
    </rPh>
    <rPh sb="38" eb="41">
      <t>シンダンシ</t>
    </rPh>
    <rPh sb="41" eb="43">
      <t>シケン</t>
    </rPh>
    <rPh sb="45" eb="47">
      <t>シュツダイ</t>
    </rPh>
    <rPh sb="47" eb="48">
      <t>レイ</t>
    </rPh>
    <rPh sb="54" eb="56">
      <t>タイサク</t>
    </rPh>
    <rPh sb="57" eb="59">
      <t>フヨウ</t>
    </rPh>
    <phoneticPr fontId="3"/>
  </si>
  <si>
    <t>※この例題では、製品Aの売上高や売上原価(連結原価)は、同額原価＝非関連原価として考慮しない。 2案を比較する意思決定は｢差額｣で行うため、同額原価を考慮せずショートカットすることに慣れると、計算スピードが上がる。</t>
    <rPh sb="3" eb="5">
      <t>レイダイ</t>
    </rPh>
    <rPh sb="8" eb="10">
      <t>セイヒン</t>
    </rPh>
    <rPh sb="12" eb="14">
      <t>ウリアゲ</t>
    </rPh>
    <rPh sb="14" eb="15">
      <t>ダカ</t>
    </rPh>
    <rPh sb="16" eb="18">
      <t>ウリアゲ</t>
    </rPh>
    <rPh sb="18" eb="20">
      <t>ゲンカ</t>
    </rPh>
    <rPh sb="21" eb="23">
      <t>レンケツ</t>
    </rPh>
    <rPh sb="23" eb="25">
      <t>ゲンカ</t>
    </rPh>
    <rPh sb="28" eb="30">
      <t>ドウガク</t>
    </rPh>
    <rPh sb="30" eb="32">
      <t>ゲンカ</t>
    </rPh>
    <rPh sb="33" eb="34">
      <t>ヒ</t>
    </rPh>
    <rPh sb="34" eb="36">
      <t>カンレン</t>
    </rPh>
    <rPh sb="36" eb="38">
      <t>ゲンカ</t>
    </rPh>
    <rPh sb="41" eb="43">
      <t>コウリョ</t>
    </rPh>
    <phoneticPr fontId="3"/>
  </si>
  <si>
    <t>CASE6 追加加工の要否 例題 P30</t>
    <rPh sb="6" eb="8">
      <t>ツイカ</t>
    </rPh>
    <rPh sb="8" eb="10">
      <t>カコウ</t>
    </rPh>
    <rPh sb="11" eb="13">
      <t>ヨウヒ</t>
    </rPh>
    <rPh sb="14" eb="16">
      <t>レイダイ</t>
    </rPh>
    <phoneticPr fontId="3"/>
  </si>
  <si>
    <t>円安い、飾り部品内製案を採用する。</t>
    <rPh sb="0" eb="1">
      <t>エン</t>
    </rPh>
    <rPh sb="1" eb="2">
      <t>ヤス</t>
    </rPh>
    <rPh sb="4" eb="5">
      <t>カザ</t>
    </rPh>
    <rPh sb="6" eb="8">
      <t>ブヒン</t>
    </rPh>
    <rPh sb="8" eb="10">
      <t>ナイセイ</t>
    </rPh>
    <rPh sb="10" eb="11">
      <t>アン</t>
    </rPh>
    <rPh sb="11" eb="12">
      <t>ナイアン</t>
    </rPh>
    <rPh sb="12" eb="14">
      <t>サイヨウ</t>
    </rPh>
    <phoneticPr fontId="3"/>
  </si>
  <si>
    <t>差額原価が</t>
    <rPh sb="0" eb="2">
      <t>サガク</t>
    </rPh>
    <rPh sb="2" eb="4">
      <t>ゲンカ</t>
    </rPh>
    <phoneticPr fontId="3"/>
  </si>
  <si>
    <t>円安い、内製案を採用する。</t>
    <rPh sb="0" eb="1">
      <t>エン</t>
    </rPh>
    <rPh sb="1" eb="2">
      <t>ヤス</t>
    </rPh>
    <rPh sb="4" eb="6">
      <t>ナイセイ</t>
    </rPh>
    <rPh sb="6" eb="7">
      <t>アン</t>
    </rPh>
    <rPh sb="8" eb="10">
      <t>サイヨウ</t>
    </rPh>
    <phoneticPr fontId="3"/>
  </si>
  <si>
    <t>特殊機械賃借料</t>
    <rPh sb="0" eb="2">
      <t>トクシュ</t>
    </rPh>
    <rPh sb="2" eb="4">
      <t>キカイ</t>
    </rPh>
    <rPh sb="4" eb="7">
      <t>チンシャクリョウ</t>
    </rPh>
    <phoneticPr fontId="3"/>
  </si>
  <si>
    <t>変動費単価計</t>
    <rPh sb="0" eb="2">
      <t>ヘンドウ</t>
    </rPh>
    <rPh sb="2" eb="3">
      <t>ヒ</t>
    </rPh>
    <rPh sb="3" eb="5">
      <t>タンカ</t>
    </rPh>
    <rPh sb="5" eb="6">
      <t>ケイ</t>
    </rPh>
    <phoneticPr fontId="3"/>
  </si>
  <si>
    <t>個を越えれば(91個以上なら)、内製が有利。</t>
    <rPh sb="0" eb="1">
      <t>コ</t>
    </rPh>
    <rPh sb="2" eb="3">
      <t>コ</t>
    </rPh>
    <rPh sb="9" eb="10">
      <t>コ</t>
    </rPh>
    <rPh sb="10" eb="12">
      <t>イジョウ</t>
    </rPh>
    <rPh sb="16" eb="18">
      <t>ナイセイ</t>
    </rPh>
    <rPh sb="19" eb="21">
      <t>ユウリ</t>
    </rPh>
    <phoneticPr fontId="3"/>
  </si>
  <si>
    <t>x=</t>
    <phoneticPr fontId="3"/>
  </si>
  <si>
    <t>3,250x＝3,150x＋9,000</t>
    <phoneticPr fontId="3"/>
  </si>
  <si>
    <t>外部購入単価</t>
    <rPh sb="0" eb="2">
      <t>ガイブ</t>
    </rPh>
    <rPh sb="2" eb="4">
      <t>コウニュウ</t>
    </rPh>
    <rPh sb="4" eb="6">
      <t>タンカ</t>
    </rPh>
    <phoneticPr fontId="3"/>
  </si>
  <si>
    <t>x</t>
    <phoneticPr fontId="3"/>
  </si>
  <si>
    <t>時計購入＋飾り部品内製</t>
    <rPh sb="0" eb="2">
      <t>トケイ</t>
    </rPh>
    <rPh sb="2" eb="4">
      <t>コウニュウ</t>
    </rPh>
    <rPh sb="5" eb="6">
      <t>カザ</t>
    </rPh>
    <rPh sb="7" eb="9">
      <t>ブヒン</t>
    </rPh>
    <rPh sb="9" eb="11">
      <t>ナイセイ</t>
    </rPh>
    <phoneticPr fontId="3"/>
  </si>
  <si>
    <t>時計内製＋飾り部品購入</t>
    <rPh sb="0" eb="2">
      <t>トケイ</t>
    </rPh>
    <rPh sb="2" eb="4">
      <t>ナイセイ</t>
    </rPh>
    <rPh sb="5" eb="6">
      <t>カザ</t>
    </rPh>
    <rPh sb="7" eb="9">
      <t>ブヒン</t>
    </rPh>
    <rPh sb="9" eb="11">
      <t>コウニュウ</t>
    </rPh>
    <phoneticPr fontId="3"/>
  </si>
  <si>
    <t>内製案</t>
    <rPh sb="0" eb="2">
      <t>ナイセイ</t>
    </rPh>
    <rPh sb="2" eb="3">
      <t>アン</t>
    </rPh>
    <phoneticPr fontId="3"/>
  </si>
  <si>
    <t>購入案</t>
    <rPh sb="0" eb="2">
      <t>コウニュウ</t>
    </rPh>
    <rPh sb="2" eb="3">
      <t>アン</t>
    </rPh>
    <phoneticPr fontId="3"/>
  </si>
  <si>
    <t>｢200hで時計⇔飾り部品どちらを作る方が有利かの意思決定｣に読み替える</t>
  </si>
  <si>
    <t>そこで飾り部品の内製⇔購入ではなく、</t>
    <rPh sb="3" eb="4">
      <t>カザ</t>
    </rPh>
    <rPh sb="5" eb="7">
      <t>ブヒン</t>
    </rPh>
    <rPh sb="8" eb="10">
      <t>ナイセイ</t>
    </rPh>
    <rPh sb="11" eb="13">
      <t>コウニュウ</t>
    </rPh>
    <phoneticPr fontId="3"/>
  </si>
  <si>
    <t>方程式で解く。</t>
  </si>
  <si>
    <t>飾り部品の販売単価&gt;変動製造原価なので、作らないより作る方が儲かると判断できる。</t>
    <rPh sb="0" eb="1">
      <t>カザ</t>
    </rPh>
    <rPh sb="2" eb="4">
      <t>ブヒン</t>
    </rPh>
    <rPh sb="5" eb="7">
      <t>ハンバイ</t>
    </rPh>
    <rPh sb="7" eb="9">
      <t>タンカ</t>
    </rPh>
    <rPh sb="10" eb="12">
      <t>ヘンドウ</t>
    </rPh>
    <rPh sb="12" eb="14">
      <t>セイゾウ</t>
    </rPh>
    <rPh sb="14" eb="16">
      <t>ゲンカ</t>
    </rPh>
    <rPh sb="20" eb="21">
      <t>ツク</t>
    </rPh>
    <rPh sb="26" eb="27">
      <t>ツク</t>
    </rPh>
    <rPh sb="28" eb="29">
      <t>ホウ</t>
    </rPh>
    <rPh sb="30" eb="31">
      <t>モウ</t>
    </rPh>
    <rPh sb="34" eb="36">
      <t>ハンダン</t>
    </rPh>
    <phoneticPr fontId="3"/>
  </si>
  <si>
    <t>差額原価が購入案＝内製案となる優劣分岐点をxと置き、</t>
    <rPh sb="0" eb="2">
      <t>サガク</t>
    </rPh>
    <rPh sb="2" eb="4">
      <t>ゲンカ</t>
    </rPh>
    <rPh sb="5" eb="7">
      <t>コウニュウ</t>
    </rPh>
    <rPh sb="7" eb="8">
      <t>アン</t>
    </rPh>
    <rPh sb="9" eb="11">
      <t>ナイセイ</t>
    </rPh>
    <rPh sb="11" eb="12">
      <t>アン</t>
    </rPh>
    <rPh sb="15" eb="17">
      <t>ユウレツ</t>
    </rPh>
    <rPh sb="17" eb="20">
      <t>ブンキテン</t>
    </rPh>
    <rPh sb="23" eb="24">
      <t>オ</t>
    </rPh>
    <phoneticPr fontId="3"/>
  </si>
  <si>
    <t>内製・外部購入それぞれの場合の差額収益を求め、比較する。</t>
    <rPh sb="0" eb="2">
      <t>ナイセイ</t>
    </rPh>
    <rPh sb="3" eb="5">
      <t>ガイブ</t>
    </rPh>
    <rPh sb="5" eb="7">
      <t>コウニュウ</t>
    </rPh>
    <rPh sb="12" eb="14">
      <t>バアイ</t>
    </rPh>
    <rPh sb="15" eb="17">
      <t>サガク</t>
    </rPh>
    <rPh sb="17" eb="19">
      <t>シュウエキ</t>
    </rPh>
    <rPh sb="20" eb="21">
      <t>モト</t>
    </rPh>
    <rPh sb="23" eb="25">
      <t>ヒカク</t>
    </rPh>
    <phoneticPr fontId="3"/>
  </si>
  <si>
    <t>【問3】感度分析 (上級)</t>
    <rPh sb="1" eb="2">
      <t>トイ</t>
    </rPh>
    <rPh sb="4" eb="6">
      <t>カンド</t>
    </rPh>
    <rPh sb="6" eb="8">
      <t>ブンセキ</t>
    </rPh>
    <rPh sb="10" eb="12">
      <t>ジョウキュウ</t>
    </rPh>
    <phoneticPr fontId="3"/>
  </si>
  <si>
    <t>【問2】感度分析～優劣分岐点</t>
    <rPh sb="1" eb="2">
      <t>トイ</t>
    </rPh>
    <rPh sb="4" eb="6">
      <t>カンド</t>
    </rPh>
    <rPh sb="6" eb="8">
      <t>ブンセキ</t>
    </rPh>
    <rPh sb="9" eb="11">
      <t>ユウレツ</t>
    </rPh>
    <rPh sb="11" eb="14">
      <t>ブンキテン</t>
    </rPh>
    <phoneticPr fontId="3"/>
  </si>
  <si>
    <t>【問1】内外製の意思決定</t>
    <rPh sb="1" eb="2">
      <t>トイ</t>
    </rPh>
    <phoneticPr fontId="3"/>
  </si>
  <si>
    <t xml:space="preserve">  パターンを一つ一つ覚えるような学習は非効率なので、理解しづらい場合はスキップしてOK。</t>
    <rPh sb="7" eb="8">
      <t>ヒト</t>
    </rPh>
    <rPh sb="9" eb="10">
      <t>ヒト</t>
    </rPh>
    <rPh sb="11" eb="12">
      <t>オボ</t>
    </rPh>
    <rPh sb="17" eb="19">
      <t>ガクシュウ</t>
    </rPh>
    <rPh sb="20" eb="23">
      <t>ヒコウリツ</t>
    </rPh>
    <rPh sb="27" eb="29">
      <t>リカイ</t>
    </rPh>
    <rPh sb="33" eb="35">
      <t>バアイ</t>
    </rPh>
    <phoneticPr fontId="3"/>
  </si>
  <si>
    <t>※問3パターンのような｢代替案の組み合わせ｣は、直感的にイメージしづらい。</t>
    <rPh sb="1" eb="2">
      <t>トイ</t>
    </rPh>
    <rPh sb="12" eb="15">
      <t>ダイタイアン</t>
    </rPh>
    <rPh sb="16" eb="17">
      <t>ク</t>
    </rPh>
    <rPh sb="18" eb="19">
      <t>ア</t>
    </rPh>
    <rPh sb="24" eb="27">
      <t>チョッカンテキ</t>
    </rPh>
    <phoneticPr fontId="3"/>
  </si>
  <si>
    <t>変動費計</t>
    <rPh sb="0" eb="2">
      <t>ヘンドウ</t>
    </rPh>
    <rPh sb="2" eb="3">
      <t>ヒ</t>
    </rPh>
    <rPh sb="3" eb="4">
      <t>ケイ</t>
    </rPh>
    <phoneticPr fontId="3"/>
  </si>
  <si>
    <t>円/年</t>
    <rPh sb="0" eb="1">
      <t>エン</t>
    </rPh>
    <rPh sb="2" eb="3">
      <t>ネン</t>
    </rPh>
    <phoneticPr fontId="3"/>
  </si>
  <si>
    <t>固定費分</t>
    <rPh sb="0" eb="2">
      <t>コテイ</t>
    </rPh>
    <rPh sb="2" eb="3">
      <t>ヒ</t>
    </rPh>
    <rPh sb="3" eb="4">
      <t>ブン</t>
    </rPh>
    <phoneticPr fontId="3"/>
  </si>
  <si>
    <t>変動費率</t>
    <rPh sb="0" eb="2">
      <t>ヘンドウ</t>
    </rPh>
    <rPh sb="2" eb="3">
      <t>ヒ</t>
    </rPh>
    <rPh sb="3" eb="4">
      <t>リツ</t>
    </rPh>
    <phoneticPr fontId="3"/>
  </si>
  <si>
    <t>年間稼働時間</t>
    <rPh sb="0" eb="2">
      <t>ネンカン</t>
    </rPh>
    <rPh sb="2" eb="4">
      <t>カドウ</t>
    </rPh>
    <rPh sb="4" eb="6">
      <t>ジカン</t>
    </rPh>
    <phoneticPr fontId="3"/>
  </si>
  <si>
    <t>販売価格</t>
    <rPh sb="0" eb="2">
      <t>ハンバイ</t>
    </rPh>
    <rPh sb="2" eb="4">
      <t>カカク</t>
    </rPh>
    <phoneticPr fontId="3"/>
  </si>
  <si>
    <t>年間予算</t>
    <rPh sb="0" eb="2">
      <t>ネンカン</t>
    </rPh>
    <rPh sb="2" eb="4">
      <t>ヨサン</t>
    </rPh>
    <phoneticPr fontId="3"/>
  </si>
  <si>
    <t>製造間接費の固変分解</t>
    <rPh sb="0" eb="2">
      <t>セイゾウ</t>
    </rPh>
    <rPh sb="2" eb="4">
      <t>カンセツ</t>
    </rPh>
    <rPh sb="4" eb="5">
      <t>ヒ</t>
    </rPh>
    <rPh sb="6" eb="10">
      <t>コヘンブンカイ</t>
    </rPh>
    <phoneticPr fontId="3"/>
  </si>
  <si>
    <t>資料の整理</t>
    <rPh sb="0" eb="2">
      <t>シリョウ</t>
    </rPh>
    <rPh sb="3" eb="5">
      <t>セイリ</t>
    </rPh>
    <phoneticPr fontId="3"/>
  </si>
  <si>
    <t>・特別注文→利益の大小を考える。 ⇔  内外製→原価の大小だけを考える。そう割り切るとスッキリ。</t>
    <rPh sb="1" eb="3">
      <t>トクベツ</t>
    </rPh>
    <rPh sb="3" eb="5">
      <t>チュウモン</t>
    </rPh>
    <rPh sb="6" eb="8">
      <t>リエキ</t>
    </rPh>
    <rPh sb="9" eb="11">
      <t>ダイショウ</t>
    </rPh>
    <rPh sb="12" eb="13">
      <t>カンガ</t>
    </rPh>
    <rPh sb="20" eb="22">
      <t>ナイガイ</t>
    </rPh>
    <rPh sb="22" eb="23">
      <t>セイ</t>
    </rPh>
    <rPh sb="24" eb="26">
      <t>ゲンカ</t>
    </rPh>
    <rPh sb="27" eb="29">
      <t>ダイショウ</t>
    </rPh>
    <rPh sb="32" eb="33">
      <t>カンガ</t>
    </rPh>
    <rPh sb="38" eb="39">
      <t>ワ</t>
    </rPh>
    <rPh sb="40" eb="41">
      <t>キ</t>
    </rPh>
    <phoneticPr fontId="3"/>
  </si>
  <si>
    <t>・特別注文が｢買ってやるから負けろ｣の意思決定とすれば、内外製は｢負けるから買いませんか？｣の意思決定。</t>
    <rPh sb="1" eb="3">
      <t>トクベツ</t>
    </rPh>
    <rPh sb="3" eb="5">
      <t>チュウモン</t>
    </rPh>
    <rPh sb="7" eb="8">
      <t>カ</t>
    </rPh>
    <rPh sb="14" eb="15">
      <t>マ</t>
    </rPh>
    <rPh sb="19" eb="21">
      <t>イシ</t>
    </rPh>
    <rPh sb="21" eb="23">
      <t>ケッテイ</t>
    </rPh>
    <rPh sb="28" eb="30">
      <t>ナイガイ</t>
    </rPh>
    <rPh sb="30" eb="31">
      <t>セイ</t>
    </rPh>
    <rPh sb="33" eb="34">
      <t>マ</t>
    </rPh>
    <rPh sb="38" eb="39">
      <t>カ</t>
    </rPh>
    <rPh sb="47" eb="49">
      <t>イシ</t>
    </rPh>
    <rPh sb="49" eb="51">
      <t>ケッテイ</t>
    </rPh>
    <phoneticPr fontId="3"/>
  </si>
  <si>
    <t xml:space="preserve">CASE5 内外製の意思決定 例題 P21 </t>
    <rPh sb="6" eb="8">
      <t>ナイガイ</t>
    </rPh>
    <rPh sb="8" eb="9">
      <t>セイ</t>
    </rPh>
    <rPh sb="10" eb="12">
      <t>イシ</t>
    </rPh>
    <rPh sb="12" eb="14">
      <t>ケッテイ</t>
    </rPh>
    <rPh sb="15" eb="17">
      <t>レイダイ</t>
    </rPh>
    <phoneticPr fontId="3"/>
  </si>
  <si>
    <t>円までなら値下げして良い。</t>
    <rPh sb="0" eb="1">
      <t>エン</t>
    </rPh>
    <rPh sb="5" eb="7">
      <t>ネサ</t>
    </rPh>
    <rPh sb="10" eb="11">
      <t>ヨ</t>
    </rPh>
    <phoneticPr fontId="3"/>
  </si>
  <si>
    <t>値下げ余地</t>
    <rPh sb="0" eb="2">
      <t>ネサ</t>
    </rPh>
    <rPh sb="3" eb="5">
      <t>ヨチ</t>
    </rPh>
    <phoneticPr fontId="3"/>
  </si>
  <si>
    <t>値下げ余地をxと置き、x×4,500個＝90,000円の方程式を解く。</t>
    <rPh sb="0" eb="2">
      <t>ネサ</t>
    </rPh>
    <rPh sb="3" eb="5">
      <t>ヨチ</t>
    </rPh>
    <rPh sb="8" eb="9">
      <t>オ</t>
    </rPh>
    <rPh sb="18" eb="19">
      <t>コ</t>
    </rPh>
    <rPh sb="26" eb="27">
      <t>エン</t>
    </rPh>
    <rPh sb="28" eb="31">
      <t>ホウテイシキ</t>
    </rPh>
    <rPh sb="32" eb="33">
      <t>ト</t>
    </rPh>
    <phoneticPr fontId="3"/>
  </si>
  <si>
    <t>特別注文を引き受ける場合の値下げ余地</t>
    <rPh sb="0" eb="2">
      <t>トクベツ</t>
    </rPh>
    <rPh sb="2" eb="4">
      <t>チュウモン</t>
    </rPh>
    <rPh sb="5" eb="6">
      <t>ヒ</t>
    </rPh>
    <rPh sb="7" eb="8">
      <t>ウ</t>
    </rPh>
    <rPh sb="10" eb="12">
      <t>バアイ</t>
    </rPh>
    <rPh sb="13" eb="15">
      <t>ネサ</t>
    </rPh>
    <rPh sb="16" eb="18">
      <t>ヨチ</t>
    </rPh>
    <phoneticPr fontId="3"/>
  </si>
  <si>
    <t>【問3】</t>
    <rPh sb="1" eb="2">
      <t>トイ</t>
    </rPh>
    <phoneticPr fontId="3"/>
  </si>
  <si>
    <t>円のマイナスなので、引き受けない。</t>
    <rPh sb="0" eb="1">
      <t>エン</t>
    </rPh>
    <rPh sb="10" eb="11">
      <t>ヒ</t>
    </rPh>
    <rPh sb="12" eb="13">
      <t>ウ</t>
    </rPh>
    <phoneticPr fontId="3"/>
  </si>
  <si>
    <t>値下げ額</t>
    <rPh sb="0" eb="2">
      <t>ネサ</t>
    </rPh>
    <rPh sb="3" eb="4">
      <t>ガク</t>
    </rPh>
    <phoneticPr fontId="3"/>
  </si>
  <si>
    <t>特別注文を受けることによる差額費用</t>
    <rPh sb="0" eb="2">
      <t>トクベツ</t>
    </rPh>
    <rPh sb="2" eb="4">
      <t>チュウモン</t>
    </rPh>
    <rPh sb="5" eb="6">
      <t>ウ</t>
    </rPh>
    <rPh sb="13" eb="15">
      <t>サガク</t>
    </rPh>
    <rPh sb="15" eb="17">
      <t>ヒヨウ</t>
    </rPh>
    <phoneticPr fontId="3"/>
  </si>
  <si>
    <t>特別注文を受けることによる差額収益</t>
    <rPh sb="0" eb="2">
      <t>トクベツ</t>
    </rPh>
    <rPh sb="2" eb="4">
      <t>チュウモン</t>
    </rPh>
    <rPh sb="5" eb="6">
      <t>ウ</t>
    </rPh>
    <rPh sb="13" eb="15">
      <t>サガク</t>
    </rPh>
    <rPh sb="15" eb="17">
      <t>シュウエキ</t>
    </rPh>
    <phoneticPr fontId="3"/>
  </si>
  <si>
    <t>特別注文を受ける場合の値下げ=機会費用の考慮</t>
    <rPh sb="0" eb="2">
      <t>トクベツ</t>
    </rPh>
    <rPh sb="2" eb="4">
      <t>チュウモン</t>
    </rPh>
    <rPh sb="5" eb="6">
      <t>ウ</t>
    </rPh>
    <rPh sb="8" eb="10">
      <t>バアイ</t>
    </rPh>
    <rPh sb="11" eb="13">
      <t>ネサ</t>
    </rPh>
    <rPh sb="15" eb="17">
      <t>キカイ</t>
    </rPh>
    <rPh sb="17" eb="19">
      <t>ヒヨウ</t>
    </rPh>
    <rPh sb="20" eb="22">
      <t>コウリョ</t>
    </rPh>
    <phoneticPr fontId="3"/>
  </si>
  <si>
    <t>※ここは値下げ額と比較するため、テキスト通り金額で解答した。</t>
    <rPh sb="4" eb="6">
      <t>ネサ</t>
    </rPh>
    <rPh sb="7" eb="8">
      <t>ガク</t>
    </rPh>
    <rPh sb="9" eb="11">
      <t>ヒカク</t>
    </rPh>
    <rPh sb="20" eb="21">
      <t>トオ</t>
    </rPh>
    <rPh sb="22" eb="24">
      <t>キンガク</t>
    </rPh>
    <rPh sb="25" eb="27">
      <t>カイトウ</t>
    </rPh>
    <phoneticPr fontId="3"/>
  </si>
  <si>
    <t>【問2】</t>
    <rPh sb="1" eb="2">
      <t>トイ</t>
    </rPh>
    <phoneticPr fontId="3"/>
  </si>
  <si>
    <t>固定費は、問題文に特定の指示がない限り同額原価なので、考慮しない。</t>
    <rPh sb="0" eb="3">
      <t>コテイヒ</t>
    </rPh>
    <rPh sb="5" eb="8">
      <t>モンダイブン</t>
    </rPh>
    <rPh sb="9" eb="11">
      <t>トクテイ</t>
    </rPh>
    <rPh sb="12" eb="14">
      <t>シジ</t>
    </rPh>
    <rPh sb="17" eb="18">
      <t>カギ</t>
    </rPh>
    <rPh sb="27" eb="29">
      <t>コウリョ</t>
    </rPh>
    <phoneticPr fontId="3"/>
  </si>
  <si>
    <t>固定製造原価</t>
    <rPh sb="0" eb="2">
      <t>コテイ</t>
    </rPh>
    <rPh sb="2" eb="4">
      <t>セイゾウ</t>
    </rPh>
    <rPh sb="4" eb="6">
      <t>ゲンカ</t>
    </rPh>
    <phoneticPr fontId="3"/>
  </si>
  <si>
    <t>※最適セールスミックスの様に、1個当たり限界利益の考え方を使うと、金額を計算せず解答ショートカット。</t>
    <rPh sb="1" eb="3">
      <t>サイテキ</t>
    </rPh>
    <rPh sb="12" eb="13">
      <t>ヨウ</t>
    </rPh>
    <rPh sb="16" eb="17">
      <t>コ</t>
    </rPh>
    <rPh sb="17" eb="18">
      <t>ア</t>
    </rPh>
    <rPh sb="20" eb="22">
      <t>ゲンカイ</t>
    </rPh>
    <rPh sb="22" eb="24">
      <t>リエキ</t>
    </rPh>
    <rPh sb="25" eb="26">
      <t>カンガ</t>
    </rPh>
    <rPh sb="27" eb="28">
      <t>カタ</t>
    </rPh>
    <rPh sb="29" eb="30">
      <t>ツカ</t>
    </rPh>
    <rPh sb="33" eb="35">
      <t>キンガク</t>
    </rPh>
    <rPh sb="36" eb="38">
      <t>ケイサン</t>
    </rPh>
    <rPh sb="40" eb="42">
      <t>カイトウ</t>
    </rPh>
    <phoneticPr fontId="3"/>
  </si>
  <si>
    <t>円でプラスなので、この注文を引き受ける。</t>
    <rPh sb="0" eb="1">
      <t>エン</t>
    </rPh>
    <rPh sb="11" eb="13">
      <t>チュウモン</t>
    </rPh>
    <rPh sb="14" eb="15">
      <t>ヒ</t>
    </rPh>
    <rPh sb="16" eb="17">
      <t>ウ</t>
    </rPh>
    <phoneticPr fontId="3"/>
  </si>
  <si>
    <t>1個当たり限利</t>
    <rPh sb="1" eb="2">
      <t>コ</t>
    </rPh>
    <rPh sb="2" eb="3">
      <t>ア</t>
    </rPh>
    <rPh sb="5" eb="6">
      <t>キリ</t>
    </rPh>
    <rPh sb="6" eb="7">
      <t>リ</t>
    </rPh>
    <phoneticPr fontId="3"/>
  </si>
  <si>
    <t>物品運送費</t>
    <rPh sb="0" eb="2">
      <t>ブッピン</t>
    </rPh>
    <rPh sb="2" eb="5">
      <t>ウンソウヒ</t>
    </rPh>
    <phoneticPr fontId="3"/>
  </si>
  <si>
    <t>販売員手数料</t>
    <rPh sb="0" eb="3">
      <t>ハンバイイン</t>
    </rPh>
    <rPh sb="3" eb="6">
      <t>テスウリョウ</t>
    </rPh>
    <phoneticPr fontId="3"/>
  </si>
  <si>
    <t>変動販売費</t>
    <rPh sb="0" eb="2">
      <t>ヘンドウ</t>
    </rPh>
    <rPh sb="2" eb="4">
      <t>ハンバイ</t>
    </rPh>
    <rPh sb="4" eb="5">
      <t>ヒ</t>
    </rPh>
    <phoneticPr fontId="3"/>
  </si>
  <si>
    <t>変動製造原価</t>
    <rPh sb="0" eb="2">
      <t>ヘンドウ</t>
    </rPh>
    <rPh sb="2" eb="4">
      <t>セイゾウ</t>
    </rPh>
    <rPh sb="4" eb="6">
      <t>ゲンカ</t>
    </rPh>
    <phoneticPr fontId="3"/>
  </si>
  <si>
    <t>特別注文の個数</t>
    <rPh sb="0" eb="2">
      <t>トクベツ</t>
    </rPh>
    <rPh sb="2" eb="4">
      <t>チュウモン</t>
    </rPh>
    <rPh sb="5" eb="7">
      <t>コスウ</t>
    </rPh>
    <phoneticPr fontId="3"/>
  </si>
  <si>
    <t>単価400円の場合</t>
    <rPh sb="0" eb="2">
      <t>タンカ</t>
    </rPh>
    <rPh sb="5" eb="6">
      <t>エン</t>
    </rPh>
    <rPh sb="7" eb="9">
      <t>バアイ</t>
    </rPh>
    <phoneticPr fontId="3"/>
  </si>
  <si>
    <t>標準原価カード＋直接原価計算PL</t>
    <rPh sb="0" eb="2">
      <t>ヒョウジュン</t>
    </rPh>
    <rPh sb="2" eb="4">
      <t>ゲンカ</t>
    </rPh>
    <rPh sb="8" eb="10">
      <t>チョクセツ</t>
    </rPh>
    <rPh sb="10" eb="12">
      <t>ゲンカ</t>
    </rPh>
    <rPh sb="12" eb="14">
      <t>ケイサン</t>
    </rPh>
    <phoneticPr fontId="3"/>
  </si>
  <si>
    <t>※テキストは説明上金額で解答しているが、ここではショートカットし、限界利益単価の±で解答した。</t>
    <rPh sb="6" eb="8">
      <t>セツメイ</t>
    </rPh>
    <rPh sb="8" eb="9">
      <t>ジョウ</t>
    </rPh>
    <rPh sb="9" eb="11">
      <t>キンガク</t>
    </rPh>
    <rPh sb="12" eb="14">
      <t>カイトウ</t>
    </rPh>
    <rPh sb="33" eb="35">
      <t>ゲンカイ</t>
    </rPh>
    <rPh sb="35" eb="37">
      <t>リエキ</t>
    </rPh>
    <rPh sb="37" eb="39">
      <t>タンカ</t>
    </rPh>
    <rPh sb="42" eb="44">
      <t>カイトウ</t>
    </rPh>
    <phoneticPr fontId="3"/>
  </si>
  <si>
    <t>【問1】</t>
    <rPh sb="1" eb="2">
      <t>トイ</t>
    </rPh>
    <phoneticPr fontId="3"/>
  </si>
  <si>
    <t>・場合により単価で解答できるケースもある。またほとんどの場合、固定費は｢同額原価｣となり計算に使わなくて良い。</t>
    <rPh sb="1" eb="3">
      <t>バアイ</t>
    </rPh>
    <rPh sb="6" eb="8">
      <t>タンカ</t>
    </rPh>
    <rPh sb="9" eb="11">
      <t>カイトウ</t>
    </rPh>
    <rPh sb="28" eb="30">
      <t>バアイ</t>
    </rPh>
    <rPh sb="31" eb="34">
      <t>コテイヒ</t>
    </rPh>
    <rPh sb="36" eb="38">
      <t>ドウガク</t>
    </rPh>
    <rPh sb="38" eb="40">
      <t>ゲンカ</t>
    </rPh>
    <rPh sb="44" eb="46">
      <t>ケイサン</t>
    </rPh>
    <rPh sb="47" eb="48">
      <t>ツカ</t>
    </rPh>
    <rPh sb="52" eb="53">
      <t>ヨ</t>
    </rPh>
    <phoneticPr fontId="3"/>
  </si>
  <si>
    <t>・特別注文の引受可否は、その注文による｢差額収益｣-｢差額費用｣＝｢差額収益｣が±どちらになるかで判断する。</t>
    <rPh sb="1" eb="3">
      <t>トクベツ</t>
    </rPh>
    <rPh sb="3" eb="5">
      <t>チュウモン</t>
    </rPh>
    <rPh sb="6" eb="8">
      <t>ヒキウケ</t>
    </rPh>
    <rPh sb="8" eb="10">
      <t>カヒ</t>
    </rPh>
    <rPh sb="14" eb="16">
      <t>チュウモン</t>
    </rPh>
    <rPh sb="20" eb="22">
      <t>サガク</t>
    </rPh>
    <rPh sb="22" eb="24">
      <t>シュウエキ</t>
    </rPh>
    <rPh sb="27" eb="29">
      <t>サガク</t>
    </rPh>
    <rPh sb="29" eb="31">
      <t>ヒヨウ</t>
    </rPh>
    <rPh sb="34" eb="36">
      <t>サガク</t>
    </rPh>
    <rPh sb="36" eb="38">
      <t>シュウエキ</t>
    </rPh>
    <rPh sb="49" eb="51">
      <t>ハンダン</t>
    </rPh>
    <phoneticPr fontId="3"/>
  </si>
  <si>
    <t>CASE4 特別注文の引受可否 例題 P.13</t>
    <rPh sb="6" eb="8">
      <t>トクベツ</t>
    </rPh>
    <rPh sb="8" eb="10">
      <t>チュウモン</t>
    </rPh>
    <rPh sb="11" eb="13">
      <t>ヒキウケ</t>
    </rPh>
    <rPh sb="13" eb="15">
      <t>カヒ</t>
    </rPh>
    <rPh sb="16" eb="18">
      <t>レイダイ</t>
    </rPh>
    <phoneticPr fontId="3"/>
  </si>
  <si>
    <t>例題エクセル週</t>
    <rPh sb="0" eb="2">
      <t>レイダイ</t>
    </rPh>
    <rPh sb="6" eb="7">
      <t>シュウ</t>
    </rPh>
    <phoneticPr fontId="3"/>
  </si>
  <si>
    <t xml:space="preserve">②営業CF(利払い後)を、現価係数で割り引くことはありえない。←この理屈を案外見落としがち。 </t>
    <rPh sb="1" eb="3">
      <t>エイギョウ</t>
    </rPh>
    <rPh sb="6" eb="8">
      <t>リバラ</t>
    </rPh>
    <rPh sb="9" eb="10">
      <t>ゴ</t>
    </rPh>
    <rPh sb="13" eb="15">
      <t>ゲンカ</t>
    </rPh>
    <rPh sb="15" eb="17">
      <t>ケイスウ</t>
    </rPh>
    <rPh sb="18" eb="19">
      <t>ワ</t>
    </rPh>
    <rPh sb="20" eb="21">
      <t>ビ</t>
    </rPh>
    <rPh sb="34" eb="36">
      <t>リクツ</t>
    </rPh>
    <rPh sb="37" eb="39">
      <t>アンガイ</t>
    </rPh>
    <rPh sb="39" eb="41">
      <t>ミオ</t>
    </rPh>
    <phoneticPr fontId="3"/>
  </si>
  <si>
    <t>①NPV計算問題は、Step1→2→3のワンパターン。これをCF計算書と混ぜて覚えると、解き方を選ぶ精度が落ちる。</t>
    <rPh sb="4" eb="6">
      <t>ケイサン</t>
    </rPh>
    <rPh sb="6" eb="8">
      <t>モンダイ</t>
    </rPh>
    <rPh sb="32" eb="35">
      <t>ケイサンショ</t>
    </rPh>
    <rPh sb="36" eb="37">
      <t>マ</t>
    </rPh>
    <rPh sb="39" eb="40">
      <t>オボ</t>
    </rPh>
    <rPh sb="44" eb="45">
      <t>ト</t>
    </rPh>
    <rPh sb="46" eb="47">
      <t>カタ</t>
    </rPh>
    <rPh sb="48" eb="49">
      <t>エラ</t>
    </rPh>
    <rPh sb="50" eb="52">
      <t>セイド</t>
    </rPh>
    <rPh sb="53" eb="54">
      <t>オ</t>
    </rPh>
    <phoneticPr fontId="3"/>
  </si>
  <si>
    <t>【関心しない理由】</t>
    <rPh sb="1" eb="3">
      <t>カンシン</t>
    </rPh>
    <rPh sb="6" eb="8">
      <t>リユウ</t>
    </rPh>
    <phoneticPr fontId="3"/>
  </si>
  <si>
    <t>そのため営業CF＝CF計算書の問題でちゅ！との教え方が横行するが、これは関心しない。</t>
    <rPh sb="4" eb="6">
      <t>エイギョウ</t>
    </rPh>
    <rPh sb="11" eb="14">
      <t>ケイサンショ</t>
    </rPh>
    <rPh sb="15" eb="17">
      <t>モンダイ</t>
    </rPh>
    <rPh sb="23" eb="24">
      <t>オシ</t>
    </rPh>
    <rPh sb="25" eb="26">
      <t>カタ</t>
    </rPh>
    <rPh sb="27" eb="29">
      <t>オウコウ</t>
    </rPh>
    <rPh sb="36" eb="38">
      <t>カンシン</t>
    </rPh>
    <phoneticPr fontId="3"/>
  </si>
  <si>
    <t>ただし診断士では｢資金繰り｣をきちんと教えないため、｢事例Ⅳ｣のNPV問題で、運転資本増減が問われると、難易度が急に上がる。</t>
    <rPh sb="3" eb="6">
      <t>シンダンシ</t>
    </rPh>
    <rPh sb="9" eb="11">
      <t>シキン</t>
    </rPh>
    <rPh sb="11" eb="12">
      <t>グ</t>
    </rPh>
    <rPh sb="19" eb="20">
      <t>オシ</t>
    </rPh>
    <rPh sb="27" eb="29">
      <t>ジレイ</t>
    </rPh>
    <rPh sb="35" eb="37">
      <t>モンダイ</t>
    </rPh>
    <rPh sb="39" eb="41">
      <t>ウンテン</t>
    </rPh>
    <rPh sb="41" eb="43">
      <t>シホン</t>
    </rPh>
    <rPh sb="43" eb="45">
      <t>ゾウゲン</t>
    </rPh>
    <rPh sb="46" eb="47">
      <t>ト</t>
    </rPh>
    <rPh sb="52" eb="55">
      <t>ナンイド</t>
    </rPh>
    <rPh sb="56" eb="57">
      <t>キュウ</t>
    </rPh>
    <rPh sb="58" eb="59">
      <t>ア</t>
    </rPh>
    <phoneticPr fontId="3"/>
  </si>
  <si>
    <t>そのため、NPV計算における｢資金繰り｣をCF計算書の問題と混同することはない。</t>
    <rPh sb="8" eb="10">
      <t>ケイサン</t>
    </rPh>
    <rPh sb="15" eb="17">
      <t>シキン</t>
    </rPh>
    <rPh sb="17" eb="18">
      <t>グ</t>
    </rPh>
    <rPh sb="23" eb="26">
      <t>ケイサンショ</t>
    </rPh>
    <rPh sb="27" eb="29">
      <t>モンダイ</t>
    </rPh>
    <rPh sb="30" eb="32">
      <t>コンドウ</t>
    </rPh>
    <phoneticPr fontId="3"/>
  </si>
  <si>
    <t>簿記1級では、これを｢資金繰り｣論点として、CF計算書とは別に切り離した独立論点として教える。</t>
    <rPh sb="0" eb="2">
      <t>ボキ</t>
    </rPh>
    <rPh sb="3" eb="4">
      <t>キュウ</t>
    </rPh>
    <rPh sb="11" eb="13">
      <t>シキン</t>
    </rPh>
    <rPh sb="13" eb="14">
      <t>グ</t>
    </rPh>
    <rPh sb="16" eb="18">
      <t>ロンテン</t>
    </rPh>
    <rPh sb="24" eb="27">
      <t>ケイサンショ</t>
    </rPh>
    <rPh sb="29" eb="30">
      <t>ベツ</t>
    </rPh>
    <rPh sb="31" eb="32">
      <t>キ</t>
    </rPh>
    <rPh sb="33" eb="34">
      <t>ハナ</t>
    </rPh>
    <rPh sb="36" eb="38">
      <t>ドクリツ</t>
    </rPh>
    <rPh sb="38" eb="40">
      <t>ロンテン</t>
    </rPh>
    <rPh sb="43" eb="44">
      <t>オシ</t>
    </rPh>
    <phoneticPr fontId="3"/>
  </si>
  <si>
    <t>正味運転資本</t>
    <rPh sb="0" eb="2">
      <t>ショウミ</t>
    </rPh>
    <rPh sb="2" eb="4">
      <t>ウンテン</t>
    </rPh>
    <rPh sb="4" eb="6">
      <t>シホン</t>
    </rPh>
    <phoneticPr fontId="3"/>
  </si>
  <si>
    <t>正味運転資本の計算(これはCF計算書でなく、資金繰りの論点)</t>
    <rPh sb="0" eb="2">
      <t>ショウミ</t>
    </rPh>
    <rPh sb="2" eb="4">
      <t>ウンテン</t>
    </rPh>
    <rPh sb="4" eb="6">
      <t>シホン</t>
    </rPh>
    <rPh sb="7" eb="9">
      <t>ケイサン</t>
    </rPh>
    <rPh sb="15" eb="18">
      <t>ケイサンショ</t>
    </rPh>
    <rPh sb="22" eb="24">
      <t>シキン</t>
    </rPh>
    <rPh sb="24" eb="25">
      <t>グ</t>
    </rPh>
    <rPh sb="27" eb="29">
      <t>ロンテン</t>
    </rPh>
    <phoneticPr fontId="3"/>
  </si>
  <si>
    <t>年次損益の見積り →CIFおよび運転資金(資金繰り)の計算に使う</t>
    <rPh sb="0" eb="2">
      <t>ネンジ</t>
    </rPh>
    <rPh sb="2" eb="4">
      <t>ソンエキ</t>
    </rPh>
    <rPh sb="5" eb="7">
      <t>ミツ</t>
    </rPh>
    <rPh sb="16" eb="18">
      <t>ウンテン</t>
    </rPh>
    <rPh sb="18" eb="20">
      <t>シキン</t>
    </rPh>
    <rPh sb="21" eb="23">
      <t>シキン</t>
    </rPh>
    <rPh sb="23" eb="24">
      <t>グ</t>
    </rPh>
    <rPh sb="27" eb="29">
      <t>ケイサン</t>
    </rPh>
    <rPh sb="30" eb="31">
      <t>ツカ</t>
    </rPh>
    <phoneticPr fontId="3"/>
  </si>
  <si>
    <t>資料</t>
    <rPh sb="0" eb="2">
      <t>シリョウ</t>
    </rPh>
    <phoneticPr fontId="3"/>
  </si>
  <si>
    <t>でプラスとなり、投資案を採用する</t>
    <rPh sb="8" eb="10">
      <t>トウシ</t>
    </rPh>
    <rPh sb="10" eb="11">
      <t>アン</t>
    </rPh>
    <rPh sb="12" eb="14">
      <t>サイヨウ</t>
    </rPh>
    <phoneticPr fontId="3"/>
  </si>
  <si>
    <t>NPV</t>
    <phoneticPr fontId="3"/>
  </si>
  <si>
    <t>現在価値PV</t>
    <rPh sb="0" eb="2">
      <t>ゲンザイ</t>
    </rPh>
    <rPh sb="2" eb="4">
      <t>カチ</t>
    </rPh>
    <phoneticPr fontId="3"/>
  </si>
  <si>
    <t>は資本コスト8%を上回るため、投資案を採用する。</t>
    <rPh sb="1" eb="3">
      <t>シホン</t>
    </rPh>
    <rPh sb="9" eb="11">
      <t>ウワマワ</t>
    </rPh>
    <rPh sb="15" eb="17">
      <t>トウシ</t>
    </rPh>
    <rPh sb="17" eb="18">
      <t>アン</t>
    </rPh>
    <rPh sb="19" eb="21">
      <t>サイヨウ</t>
    </rPh>
    <phoneticPr fontId="3"/>
  </si>
  <si>
    <t>CF計</t>
    <rPh sb="2" eb="3">
      <t>ケイ</t>
    </rPh>
    <phoneticPr fontId="3"/>
  </si>
  <si>
    <t>②～⑤</t>
    <phoneticPr fontId="3"/>
  </si>
  <si>
    <t>正味運転資本の増減</t>
    <rPh sb="0" eb="2">
      <t>ショウミ</t>
    </rPh>
    <rPh sb="2" eb="4">
      <t>ウンテン</t>
    </rPh>
    <rPh sb="4" eb="6">
      <t>シホン</t>
    </rPh>
    <rPh sb="7" eb="9">
      <t>ゾウゲン</t>
    </rPh>
    <phoneticPr fontId="3"/>
  </si>
  <si>
    <t>⑪</t>
    <phoneticPr fontId="3"/>
  </si>
  <si>
    <t>X3終了時の簿価</t>
    <rPh sb="2" eb="5">
      <t>シュウリョウジ</t>
    </rPh>
    <rPh sb="6" eb="8">
      <t>ボカ</t>
    </rPh>
    <phoneticPr fontId="3"/>
  </si>
  <si>
    <t>⑩</t>
    <phoneticPr fontId="3"/>
  </si>
  <si>
    <t>⑧⑨</t>
    <phoneticPr fontId="3"/>
  </si>
  <si>
    <t>-</t>
    <phoneticPr fontId="3"/>
  </si>
  <si>
    <t>売却収入＋損益TS</t>
    <rPh sb="0" eb="2">
      <t>バイキャク</t>
    </rPh>
    <rPh sb="2" eb="4">
      <t>シュウニュウ</t>
    </rPh>
    <rPh sb="5" eb="7">
      <t>ソンエキ</t>
    </rPh>
    <phoneticPr fontId="3"/>
  </si>
  <si>
    <t>⑦</t>
    <phoneticPr fontId="3"/>
  </si>
  <si>
    <t>減価償却費TS分</t>
    <rPh sb="0" eb="2">
      <t>ゲンカ</t>
    </rPh>
    <rPh sb="2" eb="4">
      <t>ショウキャク</t>
    </rPh>
    <rPh sb="4" eb="5">
      <t>ヒ</t>
    </rPh>
    <rPh sb="7" eb="8">
      <t>ブン</t>
    </rPh>
    <phoneticPr fontId="3"/>
  </si>
  <si>
    <t>-</t>
    <phoneticPr fontId="3"/>
  </si>
  <si>
    <t>⑥</t>
    <phoneticPr fontId="3"/>
  </si>
  <si>
    <t>税引後損益</t>
    <rPh sb="0" eb="2">
      <t>ゼイビキ</t>
    </rPh>
    <rPh sb="2" eb="3">
      <t>ゴ</t>
    </rPh>
    <rPh sb="3" eb="5">
      <t>ソンエキ</t>
    </rPh>
    <phoneticPr fontId="3"/>
  </si>
  <si>
    <t>取得価額</t>
    <rPh sb="0" eb="2">
      <t>シュトク</t>
    </rPh>
    <rPh sb="2" eb="4">
      <t>カガク</t>
    </rPh>
    <phoneticPr fontId="3"/>
  </si>
  <si>
    <t>①</t>
    <phoneticPr fontId="3"/>
  </si>
  <si>
    <t>設備投資支出</t>
    <rPh sb="0" eb="2">
      <t>セツビ</t>
    </rPh>
    <rPh sb="2" eb="4">
      <t>トウシ</t>
    </rPh>
    <rPh sb="4" eb="6">
      <t>シシュツ</t>
    </rPh>
    <phoneticPr fontId="3"/>
  </si>
  <si>
    <t>Y2</t>
    <phoneticPr fontId="3"/>
  </si>
  <si>
    <t>Y1</t>
    <phoneticPr fontId="3"/>
  </si>
  <si>
    <t>Y0</t>
    <phoneticPr fontId="3"/>
  </si>
  <si>
    <t>③項目ごとに影響額をタイムテーブルに並べて、描きだす。</t>
    <rPh sb="1" eb="3">
      <t>コウモク</t>
    </rPh>
    <rPh sb="6" eb="9">
      <t>エイキョウガク</t>
    </rPh>
    <rPh sb="18" eb="19">
      <t>ナラ</t>
    </rPh>
    <rPh sb="22" eb="23">
      <t>カ</t>
    </rPh>
    <phoneticPr fontId="3"/>
  </si>
  <si>
    <t>②増分CFに影響する項目にチェックをつける。</t>
    <rPh sb="1" eb="3">
      <t>ゾウブン</t>
    </rPh>
    <rPh sb="6" eb="8">
      <t>エイキョウ</t>
    </rPh>
    <rPh sb="10" eb="12">
      <t>コウモク</t>
    </rPh>
    <phoneticPr fontId="3"/>
  </si>
  <si>
    <t>①タイムテーブルを描く。</t>
    <rPh sb="9" eb="10">
      <t>カ</t>
    </rPh>
    <phoneticPr fontId="3"/>
  </si>
  <si>
    <t>Step1→2→3のうち、Step1｢キャッシュ・フローの把握｣が最初で最大の点差になる。</t>
    <rPh sb="29" eb="31">
      <t>ハアク</t>
    </rPh>
    <rPh sb="33" eb="35">
      <t>サイショ</t>
    </rPh>
    <rPh sb="36" eb="38">
      <t>サイダイ</t>
    </rPh>
    <rPh sb="39" eb="41">
      <t>テンサ</t>
    </rPh>
    <phoneticPr fontId="3"/>
  </si>
  <si>
    <t>★NPV意思決定会計の問題を、CF計算書と混ぜてあわあわしない解答手順</t>
    <rPh sb="4" eb="6">
      <t>イシ</t>
    </rPh>
    <rPh sb="6" eb="8">
      <t>ケッテイ</t>
    </rPh>
    <rPh sb="8" eb="10">
      <t>カイケイ</t>
    </rPh>
    <rPh sb="11" eb="13">
      <t>モンダイ</t>
    </rPh>
    <rPh sb="17" eb="20">
      <t>ケイサンショ</t>
    </rPh>
    <rPh sb="21" eb="22">
      <t>マ</t>
    </rPh>
    <rPh sb="31" eb="33">
      <t>カイトウ</t>
    </rPh>
    <rPh sb="33" eb="35">
      <t>テジュン</t>
    </rPh>
    <phoneticPr fontId="3"/>
  </si>
  <si>
    <r>
      <t>・この例題は、｢運転資本の増減｣が問われ、</t>
    </r>
    <r>
      <rPr>
        <b/>
        <sz val="10"/>
        <color rgb="FFFF0000"/>
        <rFont val="游ゴシック"/>
        <family val="3"/>
        <charset val="128"/>
        <scheme val="minor"/>
      </rPr>
      <t>診断士受験者が｢うは、CF計算書がやはり出たでちゅ！｣とあわあわしやすい典型パターン</t>
    </r>
    <r>
      <rPr>
        <b/>
        <sz val="10"/>
        <color rgb="FF3F3F3F"/>
        <rFont val="游ゴシック"/>
        <family val="2"/>
        <charset val="128"/>
        <scheme val="minor"/>
      </rPr>
      <t>。そちらと混ぜず、計算要素をタイムテーブルに正しく描く能力が問われる。</t>
    </r>
    <rPh sb="3" eb="5">
      <t>レイダイ</t>
    </rPh>
    <rPh sb="8" eb="10">
      <t>ウンテン</t>
    </rPh>
    <rPh sb="10" eb="12">
      <t>シホン</t>
    </rPh>
    <rPh sb="13" eb="15">
      <t>ゾウゲン</t>
    </rPh>
    <rPh sb="17" eb="18">
      <t>ト</t>
    </rPh>
    <rPh sb="21" eb="24">
      <t>シンダンシ</t>
    </rPh>
    <rPh sb="24" eb="27">
      <t>ジュケンシャ</t>
    </rPh>
    <rPh sb="34" eb="37">
      <t>ケイサンショ</t>
    </rPh>
    <rPh sb="41" eb="42">
      <t>デ</t>
    </rPh>
    <rPh sb="57" eb="59">
      <t>テンケイ</t>
    </rPh>
    <rPh sb="68" eb="69">
      <t>マ</t>
    </rPh>
    <rPh sb="72" eb="74">
      <t>ケイサン</t>
    </rPh>
    <rPh sb="74" eb="76">
      <t>ヨウソ</t>
    </rPh>
    <rPh sb="85" eb="86">
      <t>タダ</t>
    </rPh>
    <rPh sb="88" eb="89">
      <t>カ</t>
    </rPh>
    <rPh sb="90" eb="92">
      <t>ノウリョク</t>
    </rPh>
    <rPh sb="93" eb="94">
      <t>ト</t>
    </rPh>
    <phoneticPr fontId="3"/>
  </si>
  <si>
    <t>・｢事例Ⅳ｣では、CF計算書、意思決定会計のいずれを聞いているか、一見わかりにくい問題が多い。意思決定会計＝NPVの場合は、計算パターンが決まっているので、両者の違いを見極めることがスピード解答の第一歩。</t>
    <rPh sb="2" eb="4">
      <t>ジレイ</t>
    </rPh>
    <rPh sb="11" eb="14">
      <t>ケイサンショ</t>
    </rPh>
    <rPh sb="15" eb="17">
      <t>イシ</t>
    </rPh>
    <rPh sb="17" eb="19">
      <t>ケッテイ</t>
    </rPh>
    <rPh sb="19" eb="21">
      <t>カイケイ</t>
    </rPh>
    <rPh sb="26" eb="27">
      <t>キ</t>
    </rPh>
    <rPh sb="33" eb="35">
      <t>イッケン</t>
    </rPh>
    <rPh sb="41" eb="43">
      <t>モンダイ</t>
    </rPh>
    <rPh sb="44" eb="45">
      <t>オオ</t>
    </rPh>
    <rPh sb="47" eb="49">
      <t>イシ</t>
    </rPh>
    <rPh sb="49" eb="51">
      <t>ケッテイ</t>
    </rPh>
    <rPh sb="51" eb="53">
      <t>カイケイ</t>
    </rPh>
    <rPh sb="58" eb="60">
      <t>バアイ</t>
    </rPh>
    <rPh sb="62" eb="64">
      <t>ケイサン</t>
    </rPh>
    <rPh sb="69" eb="70">
      <t>キ</t>
    </rPh>
    <rPh sb="78" eb="80">
      <t>リョウシャ</t>
    </rPh>
    <rPh sb="81" eb="82">
      <t>チガ</t>
    </rPh>
    <rPh sb="84" eb="86">
      <t>ミキワ</t>
    </rPh>
    <rPh sb="95" eb="97">
      <t>カイトウ</t>
    </rPh>
    <rPh sb="98" eb="99">
      <t>ダイ</t>
    </rPh>
    <rPh sb="99" eb="101">
      <t>イッポ</t>
    </rPh>
    <phoneticPr fontId="3"/>
  </si>
  <si>
    <t>CASE16 新規大規模投資の意思決定 P.87 ★重要</t>
    <rPh sb="26" eb="28">
      <t>ジュウヨウ</t>
    </rPh>
    <phoneticPr fontId="3"/>
  </si>
  <si>
    <t>NPV</t>
    <phoneticPr fontId="3"/>
  </si>
  <si>
    <t>増分CF</t>
    <rPh sb="0" eb="2">
      <t>ゾウブン</t>
    </rPh>
    <phoneticPr fontId="3"/>
  </si>
  <si>
    <t>設備投資額</t>
    <rPh sb="0" eb="2">
      <t>セツビ</t>
    </rPh>
    <rPh sb="2" eb="4">
      <t>トウシ</t>
    </rPh>
    <rPh sb="4" eb="5">
      <t>ガク</t>
    </rPh>
    <phoneticPr fontId="3"/>
  </si>
  <si>
    <t>売上高の増加</t>
    <rPh sb="0" eb="2">
      <t>ウリアゲ</t>
    </rPh>
    <rPh sb="2" eb="3">
      <t>ダカ</t>
    </rPh>
    <rPh sb="4" eb="6">
      <t>ゾウカ</t>
    </rPh>
    <phoneticPr fontId="3"/>
  </si>
  <si>
    <t>現金支出の増加</t>
    <rPh sb="0" eb="2">
      <t>ゲンキン</t>
    </rPh>
    <rPh sb="2" eb="4">
      <t>シシュツ</t>
    </rPh>
    <rPh sb="5" eb="7">
      <t>ゾウカ</t>
    </rPh>
    <phoneticPr fontId="3"/>
  </si>
  <si>
    <t>【問2】法人税を考慮するCF</t>
    <rPh sb="1" eb="2">
      <t>トイ</t>
    </rPh>
    <rPh sb="4" eb="7">
      <t>ホウジンゼイ</t>
    </rPh>
    <rPh sb="8" eb="10">
      <t>コウリョ</t>
    </rPh>
    <phoneticPr fontId="3"/>
  </si>
  <si>
    <t>CIF</t>
    <phoneticPr fontId="3"/>
  </si>
  <si>
    <t>COF</t>
    <phoneticPr fontId="3"/>
  </si>
  <si>
    <t>増分CFの計算</t>
    <rPh sb="0" eb="2">
      <t>ゾウブン</t>
    </rPh>
    <rPh sb="5" eb="7">
      <t>ケイサン</t>
    </rPh>
    <phoneticPr fontId="3"/>
  </si>
  <si>
    <t>NPV (参考)</t>
    <rPh sb="5" eb="7">
      <t>サンコウ</t>
    </rPh>
    <phoneticPr fontId="3"/>
  </si>
  <si>
    <t>?</t>
    <phoneticPr fontId="3"/>
  </si>
  <si>
    <t>←差額で考える</t>
    <rPh sb="1" eb="3">
      <t>サガク</t>
    </rPh>
    <rPh sb="4" eb="5">
      <t>カンガ</t>
    </rPh>
    <phoneticPr fontId="3"/>
  </si>
  <si>
    <t>採用後</t>
    <rPh sb="0" eb="3">
      <t>サイヨウゴ</t>
    </rPh>
    <phoneticPr fontId="3"/>
  </si>
  <si>
    <t>採用前</t>
    <rPh sb="0" eb="2">
      <t>サイヨウ</t>
    </rPh>
    <rPh sb="2" eb="3">
      <t>マエ</t>
    </rPh>
    <phoneticPr fontId="3"/>
  </si>
  <si>
    <t>資料 CFの変化</t>
    <rPh sb="0" eb="2">
      <t>シリョウ</t>
    </rPh>
    <rPh sb="6" eb="8">
      <t>ヘンカ</t>
    </rPh>
    <phoneticPr fontId="3"/>
  </si>
  <si>
    <t>【問1】法人税を考慮しないCF</t>
    <rPh sb="1" eb="2">
      <t>トイ</t>
    </rPh>
    <rPh sb="4" eb="7">
      <t>ホウジンゼイ</t>
    </rPh>
    <rPh sb="8" eb="10">
      <t>コウリョ</t>
    </rPh>
    <phoneticPr fontId="3"/>
  </si>
  <si>
    <t>Y2</t>
    <phoneticPr fontId="3"/>
  </si>
  <si>
    <t>Y1</t>
    <phoneticPr fontId="3"/>
  </si>
  <si>
    <t>Y0</t>
    <phoneticPr fontId="3"/>
  </si>
  <si>
    <t>・最初は法人税なし→法人税ありのパターンで覚えると良いが、慣れてくると、｢法人税あり｣を先に計算する方が、手戻りが少ないと気づく。</t>
    <rPh sb="1" eb="3">
      <t>サイショ</t>
    </rPh>
    <rPh sb="4" eb="6">
      <t>ホウジン</t>
    </rPh>
    <rPh sb="6" eb="7">
      <t>ゼイ</t>
    </rPh>
    <rPh sb="10" eb="13">
      <t>ホウジンゼイ</t>
    </rPh>
    <rPh sb="21" eb="22">
      <t>オボ</t>
    </rPh>
    <rPh sb="25" eb="26">
      <t>ヨ</t>
    </rPh>
    <rPh sb="29" eb="30">
      <t>ナ</t>
    </rPh>
    <rPh sb="37" eb="40">
      <t>ホウジンゼイ</t>
    </rPh>
    <rPh sb="44" eb="45">
      <t>サキ</t>
    </rPh>
    <rPh sb="46" eb="48">
      <t>ケイサン</t>
    </rPh>
    <rPh sb="50" eb="51">
      <t>ホウ</t>
    </rPh>
    <rPh sb="53" eb="54">
      <t>テ</t>
    </rPh>
    <rPh sb="54" eb="55">
      <t>モド</t>
    </rPh>
    <rPh sb="57" eb="58">
      <t>スク</t>
    </rPh>
    <rPh sb="61" eb="62">
      <t>キ</t>
    </rPh>
    <phoneticPr fontId="3"/>
  </si>
  <si>
    <t>・増分CFを使うことに注意したうえで、法人税を考慮する・しないの違いを確実に押さえるための例題。</t>
    <rPh sb="1" eb="3">
      <t>ゾウブン</t>
    </rPh>
    <rPh sb="6" eb="7">
      <t>ツカ</t>
    </rPh>
    <rPh sb="11" eb="13">
      <t>チュウイ</t>
    </rPh>
    <rPh sb="19" eb="21">
      <t>ホウジン</t>
    </rPh>
    <rPh sb="21" eb="22">
      <t>ゼイ</t>
    </rPh>
    <rPh sb="23" eb="25">
      <t>コウリョ</t>
    </rPh>
    <rPh sb="32" eb="33">
      <t>チガ</t>
    </rPh>
    <rPh sb="35" eb="37">
      <t>カクジツ</t>
    </rPh>
    <rPh sb="38" eb="39">
      <t>オ</t>
    </rPh>
    <rPh sb="45" eb="47">
      <t>レイダイ</t>
    </rPh>
    <phoneticPr fontId="3"/>
  </si>
  <si>
    <t>CASE15 タックス・シールドを考慮したCF計算 P.81 ★重要</t>
    <rPh sb="32" eb="34">
      <t>ジュウヨウ</t>
    </rPh>
    <phoneticPr fontId="3"/>
  </si>
  <si>
    <t xml:space="preserve">   テキストを熟読し、なぜそうなるかを周囲に説明できる状態が、合格実力の一つの目安。</t>
    <rPh sb="8" eb="10">
      <t>ジュクドク</t>
    </rPh>
    <rPh sb="20" eb="22">
      <t>シュウイ</t>
    </rPh>
    <rPh sb="23" eb="25">
      <t>セツメイ</t>
    </rPh>
    <rPh sb="28" eb="30">
      <t>ジョウタイ</t>
    </rPh>
    <rPh sb="32" eb="34">
      <t>ゴウカク</t>
    </rPh>
    <rPh sb="34" eb="36">
      <t>ジツリョク</t>
    </rPh>
    <rPh sb="37" eb="38">
      <t>ヒト</t>
    </rPh>
    <rPh sb="40" eb="42">
      <t>メヤス</t>
    </rPh>
    <phoneticPr fontId="3"/>
  </si>
  <si>
    <t>←【問1】【問2】を比べると、費用(減価償却費)が増えた【問2】の方が、手元に残る現金が増える。</t>
    <rPh sb="2" eb="3">
      <t>トイ</t>
    </rPh>
    <rPh sb="6" eb="7">
      <t>トイ</t>
    </rPh>
    <rPh sb="10" eb="11">
      <t>クラ</t>
    </rPh>
    <rPh sb="15" eb="17">
      <t>ヒヨウ</t>
    </rPh>
    <rPh sb="18" eb="20">
      <t>ゲンカ</t>
    </rPh>
    <rPh sb="20" eb="22">
      <t>ショウキャク</t>
    </rPh>
    <rPh sb="22" eb="23">
      <t>ヒ</t>
    </rPh>
    <rPh sb="25" eb="26">
      <t>フ</t>
    </rPh>
    <rPh sb="29" eb="30">
      <t>トイ</t>
    </rPh>
    <rPh sb="33" eb="34">
      <t>ホウ</t>
    </rPh>
    <rPh sb="36" eb="38">
      <t>テモト</t>
    </rPh>
    <rPh sb="39" eb="40">
      <t>ノコ</t>
    </rPh>
    <rPh sb="41" eb="43">
      <t>ゲンキン</t>
    </rPh>
    <rPh sb="44" eb="45">
      <t>フ</t>
    </rPh>
    <phoneticPr fontId="3"/>
  </si>
  <si>
    <t>COF</t>
    <phoneticPr fontId="3"/>
  </si>
  <si>
    <t>CIF</t>
    <phoneticPr fontId="3"/>
  </si>
  <si>
    <t>・一方、エクセルで税引後CIF BOXを描くクセがつくと、精度・速度がダブルで向上。これは自分で試し、実感することがベスト。</t>
    <rPh sb="1" eb="3">
      <t>イッポウ</t>
    </rPh>
    <rPh sb="9" eb="11">
      <t>ゼイビキ</t>
    </rPh>
    <rPh sb="11" eb="12">
      <t>ゴ</t>
    </rPh>
    <rPh sb="20" eb="21">
      <t>カ</t>
    </rPh>
    <rPh sb="29" eb="31">
      <t>セイド</t>
    </rPh>
    <rPh sb="32" eb="34">
      <t>ソクド</t>
    </rPh>
    <rPh sb="39" eb="41">
      <t>コウジョウ</t>
    </rPh>
    <rPh sb="45" eb="47">
      <t>ジブン</t>
    </rPh>
    <rPh sb="48" eb="49">
      <t>タメ</t>
    </rPh>
    <rPh sb="51" eb="53">
      <t>ジッカン</t>
    </rPh>
    <phoneticPr fontId="3"/>
  </si>
  <si>
    <t>・増分キャッシュフローとは？のテキストの説明を、まず自分なりに理解することがスタート。次いで問題を解き重ね、誤りを修正していくのが、従来の勉強法。</t>
    <rPh sb="1" eb="3">
      <t>ゾウブン</t>
    </rPh>
    <rPh sb="20" eb="22">
      <t>セツメイ</t>
    </rPh>
    <rPh sb="26" eb="28">
      <t>ジブン</t>
    </rPh>
    <rPh sb="31" eb="33">
      <t>リカイ</t>
    </rPh>
    <rPh sb="43" eb="44">
      <t>ツ</t>
    </rPh>
    <rPh sb="46" eb="48">
      <t>モンダイ</t>
    </rPh>
    <rPh sb="49" eb="50">
      <t>ト</t>
    </rPh>
    <rPh sb="51" eb="52">
      <t>カサ</t>
    </rPh>
    <rPh sb="54" eb="55">
      <t>アヤマ</t>
    </rPh>
    <rPh sb="57" eb="59">
      <t>シュウセイ</t>
    </rPh>
    <rPh sb="66" eb="68">
      <t>ジュウライ</t>
    </rPh>
    <rPh sb="69" eb="71">
      <t>ベンキョウ</t>
    </rPh>
    <rPh sb="71" eb="72">
      <t>ホウ</t>
    </rPh>
    <phoneticPr fontId="3"/>
  </si>
  <si>
    <t>CASE14 タックス・シールドとは？ P.76  ★重要</t>
    <rPh sb="27" eb="29">
      <t>ジュウヨウ</t>
    </rPh>
    <phoneticPr fontId="3"/>
  </si>
  <si>
    <t>利益率の最も大きいC案が有利</t>
    <rPh sb="0" eb="2">
      <t>リエキ</t>
    </rPh>
    <rPh sb="2" eb="3">
      <t>リツ</t>
    </rPh>
    <rPh sb="4" eb="5">
      <t>モット</t>
    </rPh>
    <rPh sb="6" eb="7">
      <t>オオ</t>
    </rPh>
    <rPh sb="10" eb="11">
      <t>アン</t>
    </rPh>
    <rPh sb="12" eb="14">
      <t>ユウリ</t>
    </rPh>
    <phoneticPr fontId="3"/>
  </si>
  <si>
    <t>回収期間が最も短いC案が有利</t>
    <rPh sb="0" eb="2">
      <t>カイシュウ</t>
    </rPh>
    <rPh sb="2" eb="4">
      <t>キカン</t>
    </rPh>
    <rPh sb="5" eb="6">
      <t>モット</t>
    </rPh>
    <rPh sb="7" eb="8">
      <t>ミジカ</t>
    </rPh>
    <rPh sb="10" eb="11">
      <t>アン</t>
    </rPh>
    <rPh sb="12" eb="14">
      <t>ユウリ</t>
    </rPh>
    <phoneticPr fontId="3"/>
  </si>
  <si>
    <t>年々のCIF</t>
    <rPh sb="0" eb="2">
      <t>ネンネン</t>
    </rPh>
    <phoneticPr fontId="3"/>
  </si>
  <si>
    <t>A案</t>
    <rPh sb="1" eb="2">
      <t>アン</t>
    </rPh>
    <phoneticPr fontId="3"/>
  </si>
  <si>
    <t>回収期間</t>
    <rPh sb="0" eb="2">
      <t>カイシュウ</t>
    </rPh>
    <rPh sb="2" eb="4">
      <t>キカン</t>
    </rPh>
    <phoneticPr fontId="3"/>
  </si>
  <si>
    <t>Y2</t>
    <phoneticPr fontId="3"/>
  </si>
  <si>
    <t>Y1</t>
    <phoneticPr fontId="3"/>
  </si>
  <si>
    <t>Y0</t>
    <phoneticPr fontId="3"/>
  </si>
  <si>
    <t>｢事例Ⅳ｣は、1次｢財務｣出題済の範囲内の知識を使う。自分の手持ちのテキストに記載がある場合を除き、以下の式は使わない方が良い。</t>
    <rPh sb="1" eb="3">
      <t>ジレイ</t>
    </rPh>
    <rPh sb="8" eb="9">
      <t>ジ</t>
    </rPh>
    <rPh sb="10" eb="12">
      <t>ザイム</t>
    </rPh>
    <rPh sb="13" eb="15">
      <t>シュツダイ</t>
    </rPh>
    <rPh sb="15" eb="16">
      <t>スミ</t>
    </rPh>
    <rPh sb="17" eb="20">
      <t>ハンイナイ</t>
    </rPh>
    <rPh sb="21" eb="23">
      <t>チシキ</t>
    </rPh>
    <rPh sb="24" eb="25">
      <t>ツカ</t>
    </rPh>
    <rPh sb="27" eb="29">
      <t>ジブン</t>
    </rPh>
    <rPh sb="30" eb="32">
      <t>テモ</t>
    </rPh>
    <rPh sb="39" eb="41">
      <t>キサイ</t>
    </rPh>
    <rPh sb="44" eb="46">
      <t>バアイ</t>
    </rPh>
    <rPh sb="47" eb="48">
      <t>ノゾ</t>
    </rPh>
    <rPh sb="50" eb="52">
      <t>イカ</t>
    </rPh>
    <rPh sb="53" eb="54">
      <t>シキ</t>
    </rPh>
    <rPh sb="55" eb="56">
      <t>ツカ</t>
    </rPh>
    <rPh sb="59" eb="60">
      <t>ホウ</t>
    </rPh>
    <rPh sb="61" eb="62">
      <t>ヨ</t>
    </rPh>
    <phoneticPr fontId="3"/>
  </si>
  <si>
    <t>・単純回収期間法、単純投下資本利益率法ともに、計算式がある。ただ診断士｢財務｣で出題された覚えがなく、自分の手持ちのテキストに記載がある場合を除き、この計算式は覚えないで良い。</t>
    <rPh sb="1" eb="3">
      <t>タンジュン</t>
    </rPh>
    <rPh sb="3" eb="5">
      <t>カイシュウ</t>
    </rPh>
    <rPh sb="5" eb="7">
      <t>キカン</t>
    </rPh>
    <rPh sb="7" eb="8">
      <t>ホウ</t>
    </rPh>
    <rPh sb="9" eb="11">
      <t>タンジュン</t>
    </rPh>
    <rPh sb="11" eb="13">
      <t>トウカ</t>
    </rPh>
    <rPh sb="13" eb="15">
      <t>シホン</t>
    </rPh>
    <rPh sb="15" eb="17">
      <t>リエキ</t>
    </rPh>
    <rPh sb="17" eb="18">
      <t>リツ</t>
    </rPh>
    <rPh sb="18" eb="19">
      <t>ホウ</t>
    </rPh>
    <rPh sb="23" eb="25">
      <t>ケイサン</t>
    </rPh>
    <rPh sb="25" eb="26">
      <t>シキ</t>
    </rPh>
    <rPh sb="32" eb="35">
      <t>シンダンシ</t>
    </rPh>
    <rPh sb="36" eb="38">
      <t>ザイム</t>
    </rPh>
    <rPh sb="40" eb="42">
      <t>シュツダイ</t>
    </rPh>
    <rPh sb="45" eb="46">
      <t>オボ</t>
    </rPh>
    <rPh sb="51" eb="53">
      <t>ジブン</t>
    </rPh>
    <rPh sb="54" eb="56">
      <t>テモ</t>
    </rPh>
    <rPh sb="63" eb="65">
      <t>キサイ</t>
    </rPh>
    <rPh sb="68" eb="70">
      <t>バアイ</t>
    </rPh>
    <rPh sb="71" eb="72">
      <t>ノゾ</t>
    </rPh>
    <rPh sb="76" eb="78">
      <t>ケイサン</t>
    </rPh>
    <rPh sb="78" eb="79">
      <t>シキ</t>
    </rPh>
    <rPh sb="80" eb="81">
      <t>オボ</t>
    </rPh>
    <rPh sb="85" eb="86">
      <t>ヨ</t>
    </rPh>
    <phoneticPr fontId="3"/>
  </si>
  <si>
    <t>CASE13 設備投資意思決定 ～時間価値を考慮しない P.72</t>
    <phoneticPr fontId="3"/>
  </si>
  <si>
    <t>※簿記1級はIRRの計算問題を問うが、診断士試験では出題範囲外のため、関数を使ってショートカットして良い。</t>
    <rPh sb="1" eb="3">
      <t>ボキ</t>
    </rPh>
    <rPh sb="4" eb="5">
      <t>キュウ</t>
    </rPh>
    <rPh sb="10" eb="12">
      <t>ケイサン</t>
    </rPh>
    <rPh sb="12" eb="14">
      <t>モンダイ</t>
    </rPh>
    <rPh sb="15" eb="16">
      <t>ト</t>
    </rPh>
    <rPh sb="19" eb="22">
      <t>シンダンシ</t>
    </rPh>
    <rPh sb="22" eb="24">
      <t>シケン</t>
    </rPh>
    <rPh sb="26" eb="28">
      <t>シュツダイ</t>
    </rPh>
    <rPh sb="28" eb="30">
      <t>ハンイ</t>
    </rPh>
    <rPh sb="30" eb="31">
      <t>ガイ</t>
    </rPh>
    <rPh sb="35" eb="37">
      <t>カンスウ</t>
    </rPh>
    <rPh sb="38" eb="39">
      <t>ツカ</t>
    </rPh>
    <rPh sb="50" eb="51">
      <t>ヨ</t>
    </rPh>
    <phoneticPr fontId="3"/>
  </si>
  <si>
    <t>IRRは</t>
    <phoneticPr fontId="3"/>
  </si>
  <si>
    <t>年ごとのCF</t>
    <rPh sb="0" eb="1">
      <t>トシ</t>
    </rPh>
    <phoneticPr fontId="3"/>
  </si>
  <si>
    <t>(3)IRR</t>
    <phoneticPr fontId="3"/>
  </si>
  <si>
    <t>となり1.00を超えるため、投資する。</t>
    <rPh sb="8" eb="9">
      <t>コ</t>
    </rPh>
    <rPh sb="14" eb="16">
      <t>トウシ</t>
    </rPh>
    <phoneticPr fontId="3"/>
  </si>
  <si>
    <t>PIが</t>
    <phoneticPr fontId="3"/>
  </si>
  <si>
    <t>(2)PI</t>
    <phoneticPr fontId="3"/>
  </si>
  <si>
    <t>がプラスとなり、投資する。</t>
    <rPh sb="8" eb="10">
      <t>トウシ</t>
    </rPh>
    <phoneticPr fontId="3"/>
  </si>
  <si>
    <t>(1)NPV</t>
    <phoneticPr fontId="3"/>
  </si>
  <si>
    <t>売却処分</t>
    <rPh sb="0" eb="2">
      <t>バイキャク</t>
    </rPh>
    <rPh sb="2" eb="4">
      <t>ショブン</t>
    </rPh>
    <phoneticPr fontId="3"/>
  </si>
  <si>
    <t>CIF</t>
    <phoneticPr fontId="3"/>
  </si>
  <si>
    <t>Y1</t>
    <phoneticPr fontId="3"/>
  </si>
  <si>
    <t>・ついでに、タイムテーブルの描き方も覚える。エクセルを使うと、常に同じ形で描くことになり、手書きより短時間で自分のパターンが安定する。</t>
    <rPh sb="14" eb="15">
      <t>カ</t>
    </rPh>
    <rPh sb="16" eb="17">
      <t>カタ</t>
    </rPh>
    <rPh sb="18" eb="19">
      <t>オボ</t>
    </rPh>
    <rPh sb="27" eb="28">
      <t>ツカ</t>
    </rPh>
    <rPh sb="31" eb="32">
      <t>ツネ</t>
    </rPh>
    <rPh sb="33" eb="34">
      <t>オナ</t>
    </rPh>
    <rPh sb="35" eb="36">
      <t>カタチ</t>
    </rPh>
    <rPh sb="37" eb="38">
      <t>カ</t>
    </rPh>
    <rPh sb="45" eb="47">
      <t>テガ</t>
    </rPh>
    <rPh sb="50" eb="53">
      <t>タンジカン</t>
    </rPh>
    <rPh sb="54" eb="56">
      <t>ジブン</t>
    </rPh>
    <rPh sb="62" eb="64">
      <t>アンテイ</t>
    </rPh>
    <phoneticPr fontId="3"/>
  </si>
  <si>
    <t>・設備投資の評価指標として最も使われる、NPV、PI、IRRの計算パターンを覚える。</t>
    <rPh sb="1" eb="3">
      <t>セツビ</t>
    </rPh>
    <rPh sb="3" eb="5">
      <t>トウシ</t>
    </rPh>
    <rPh sb="6" eb="8">
      <t>ヒョウカ</t>
    </rPh>
    <rPh sb="8" eb="10">
      <t>シヒョウ</t>
    </rPh>
    <rPh sb="13" eb="14">
      <t>モット</t>
    </rPh>
    <rPh sb="15" eb="16">
      <t>ツカ</t>
    </rPh>
    <rPh sb="31" eb="33">
      <t>ケイサン</t>
    </rPh>
    <rPh sb="38" eb="39">
      <t>オボ</t>
    </rPh>
    <phoneticPr fontId="3"/>
  </si>
  <si>
    <t>CASE12 設備投資意思決定の評価モデル P.62</t>
    <phoneticPr fontId="3"/>
  </si>
  <si>
    <t>↑(1)1,000万円を3年間受け取り続ける場合の現在価値PV</t>
    <rPh sb="9" eb="11">
      <t>マンエン</t>
    </rPh>
    <rPh sb="13" eb="15">
      <t>ネンカン</t>
    </rPh>
    <rPh sb="15" eb="16">
      <t>ウ</t>
    </rPh>
    <rPh sb="17" eb="18">
      <t>ト</t>
    </rPh>
    <rPh sb="19" eb="20">
      <t>ツヅ</t>
    </rPh>
    <rPh sb="22" eb="24">
      <t>バアイ</t>
    </rPh>
    <rPh sb="25" eb="27">
      <t>ゲンザイ</t>
    </rPh>
    <rPh sb="27" eb="29">
      <t>カチ</t>
    </rPh>
    <phoneticPr fontId="3"/>
  </si>
  <si>
    <t>←(1)3年間の年金現価係数</t>
    <rPh sb="5" eb="7">
      <t>ネンカン</t>
    </rPh>
    <rPh sb="8" eb="10">
      <t>ネンキン</t>
    </rPh>
    <rPh sb="10" eb="12">
      <t>ゲンカ</t>
    </rPh>
    <rPh sb="12" eb="14">
      <t>ケイスウ</t>
    </rPh>
    <phoneticPr fontId="3"/>
  </si>
  <si>
    <t>←現在価値PV</t>
    <rPh sb="1" eb="3">
      <t>ゲンザイ</t>
    </rPh>
    <rPh sb="3" eb="5">
      <t>カチ</t>
    </rPh>
    <phoneticPr fontId="3"/>
  </si>
  <si>
    <t>←終価</t>
    <rPh sb="1" eb="2">
      <t>オ</t>
    </rPh>
    <phoneticPr fontId="3"/>
  </si>
  <si>
    <t>Y3</t>
    <phoneticPr fontId="3"/>
  </si>
  <si>
    <t>Y2</t>
    <phoneticPr fontId="3"/>
  </si>
  <si>
    <t>Y1</t>
    <phoneticPr fontId="3"/>
  </si>
  <si>
    <t>・ただ、タイムテーブルを描いて考えるクセを付けると、後でNPVの計算問題を解くときに使いやすい(テキストP.61参照)。</t>
    <rPh sb="12" eb="13">
      <t>カ</t>
    </rPh>
    <rPh sb="15" eb="16">
      <t>カンガ</t>
    </rPh>
    <rPh sb="21" eb="22">
      <t>ツ</t>
    </rPh>
    <rPh sb="26" eb="27">
      <t>アト</t>
    </rPh>
    <rPh sb="32" eb="34">
      <t>ケイサン</t>
    </rPh>
    <rPh sb="34" eb="36">
      <t>モンダイ</t>
    </rPh>
    <rPh sb="37" eb="38">
      <t>ト</t>
    </rPh>
    <rPh sb="42" eb="43">
      <t>ツカ</t>
    </rPh>
    <rPh sb="56" eb="58">
      <t>サンショウ</t>
    </rPh>
    <phoneticPr fontId="3"/>
  </si>
  <si>
    <t>・複利現価係数や年金現価係数の考え方、覚え方は自分の得意なやり方でOK。</t>
    <rPh sb="1" eb="3">
      <t>フクリ</t>
    </rPh>
    <rPh sb="3" eb="5">
      <t>ゲンカ</t>
    </rPh>
    <rPh sb="5" eb="7">
      <t>ケイスウ</t>
    </rPh>
    <rPh sb="8" eb="10">
      <t>ネンキン</t>
    </rPh>
    <rPh sb="10" eb="12">
      <t>ゲンカ</t>
    </rPh>
    <rPh sb="12" eb="14">
      <t>ケイスウ</t>
    </rPh>
    <rPh sb="15" eb="16">
      <t>カンガ</t>
    </rPh>
    <rPh sb="17" eb="18">
      <t>カタ</t>
    </rPh>
    <rPh sb="19" eb="20">
      <t>オボ</t>
    </rPh>
    <rPh sb="21" eb="22">
      <t>カタ</t>
    </rPh>
    <rPh sb="23" eb="25">
      <t>ジブン</t>
    </rPh>
    <rPh sb="26" eb="28">
      <t>トクイ</t>
    </rPh>
    <rPh sb="31" eb="32">
      <t>カタ</t>
    </rPh>
    <phoneticPr fontId="3"/>
  </si>
  <si>
    <t>・現価係数(複利、年金)の使い方考え方に慣れる。</t>
    <rPh sb="1" eb="3">
      <t>ゲンカ</t>
    </rPh>
    <rPh sb="3" eb="5">
      <t>ケイスウ</t>
    </rPh>
    <rPh sb="6" eb="8">
      <t>フクリ</t>
    </rPh>
    <rPh sb="9" eb="11">
      <t>ネンキン</t>
    </rPh>
    <rPh sb="13" eb="14">
      <t>ツカ</t>
    </rPh>
    <rPh sb="15" eb="16">
      <t>カタ</t>
    </rPh>
    <rPh sb="16" eb="17">
      <t>カンガ</t>
    </rPh>
    <rPh sb="18" eb="19">
      <t>カタ</t>
    </rPh>
    <rPh sb="20" eb="21">
      <t>ナ</t>
    </rPh>
    <phoneticPr fontId="3"/>
  </si>
  <si>
    <t>CASE11 貨幣の時間価値 P.57</t>
    <rPh sb="7" eb="9">
      <t>カヘイ</t>
    </rPh>
    <rPh sb="10" eb="12">
      <t>ジカン</t>
    </rPh>
    <rPh sb="12" eb="14">
      <t>カチ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</si>
</sst>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Red]\-#,##0.0"/>
    <numFmt numFmtId="177" formatCode="#,##0.0000;[Red]\-#,##0.0000"/>
    <numFmt numFmtId="178" formatCode="0.0%"/>
    <numFmt numFmtId="179" formatCode="#,##0.000;[Red]\-#,##0.000"/>
    <numFmt numFmtId="180" formatCode=";;;"/>
  </numFmts>
  <fonts count="15" x14ac:knownFonts="1">
    <font>
      <sz val="10"/>
      <color theme="1"/>
      <name val="游ゴシック"/>
      <family val="2"/>
      <charset val="128"/>
      <scheme val="minor"/>
    </font>
    <font>
      <sz val="10"/>
      <color theme="1"/>
      <name val="游ゴシック"/>
      <family val="2"/>
      <charset val="128"/>
      <scheme val="minor"/>
    </font>
    <font>
      <b/>
      <sz val="10"/>
      <color rgb="FF3F3F3F"/>
      <name val="游ゴシック"/>
      <family val="2"/>
      <charset val="128"/>
      <scheme val="minor"/>
    </font>
    <font>
      <sz val="6"/>
      <name val="游ゴシック"/>
      <family val="2"/>
      <charset val="128"/>
      <scheme val="minor"/>
    </font>
    <font>
      <b/>
      <sz val="10"/>
      <color rgb="FF3F3F3F"/>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9"/>
      <color indexed="81"/>
      <name val="ＭＳ Ｐゴシック"/>
      <family val="3"/>
      <charset val="128"/>
    </font>
    <font>
      <b/>
      <sz val="9"/>
      <color indexed="81"/>
      <name val="ＭＳ Ｐゴシック"/>
      <family val="3"/>
      <charset val="128"/>
    </font>
    <font>
      <b/>
      <sz val="10"/>
      <color theme="0"/>
      <name val="游ゴシック"/>
      <family val="2"/>
      <charset val="128"/>
      <scheme val="minor"/>
    </font>
    <font>
      <sz val="10"/>
      <color rgb="FF3F3F3F"/>
      <name val="游ゴシック"/>
      <family val="3"/>
      <charset val="128"/>
      <scheme val="minor"/>
    </font>
    <font>
      <sz val="10"/>
      <color rgb="FFFF0000"/>
      <name val="游ゴシック"/>
      <family val="3"/>
      <charset val="128"/>
      <scheme val="minor"/>
    </font>
    <font>
      <b/>
      <sz val="12"/>
      <color theme="1"/>
      <name val="游ゴシック"/>
      <family val="3"/>
      <charset val="128"/>
      <scheme val="minor"/>
    </font>
    <font>
      <u/>
      <sz val="10"/>
      <color theme="1"/>
      <name val="游ゴシック"/>
      <family val="3"/>
      <charset val="128"/>
      <scheme val="minor"/>
    </font>
    <font>
      <b/>
      <sz val="10"/>
      <color rgb="FFFF0000"/>
      <name val="游ゴシック"/>
      <family val="3"/>
      <charset val="128"/>
      <scheme val="minor"/>
    </font>
  </fonts>
  <fills count="17">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bgColor theme="8"/>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59999389629810485"/>
        <bgColor indexed="64"/>
      </patternFill>
    </fill>
  </fills>
  <borders count="39">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style="thin">
        <color indexed="64"/>
      </top>
      <bottom style="double">
        <color indexed="64"/>
      </bottom>
      <diagonal/>
    </border>
    <border>
      <left/>
      <right/>
      <top/>
      <bottom style="double">
        <color indexed="64"/>
      </bottom>
      <diagonal/>
    </border>
    <border>
      <left style="thin">
        <color theme="8"/>
      </left>
      <right/>
      <top style="thin">
        <color theme="8"/>
      </top>
      <bottom/>
      <diagonal/>
    </border>
    <border>
      <left/>
      <right/>
      <top style="thin">
        <color theme="8"/>
      </top>
      <bottom/>
      <diagonal/>
    </border>
    <border>
      <left style="thin">
        <color theme="8"/>
      </left>
      <right style="hair">
        <color theme="8"/>
      </right>
      <top style="thin">
        <color theme="8"/>
      </top>
      <bottom/>
      <diagonal/>
    </border>
    <border>
      <left style="hair">
        <color theme="8"/>
      </left>
      <right style="hair">
        <color theme="8"/>
      </right>
      <top style="thin">
        <color theme="8"/>
      </top>
      <bottom/>
      <diagonal/>
    </border>
    <border>
      <left style="thin">
        <color theme="8"/>
      </left>
      <right style="hair">
        <color theme="8"/>
      </right>
      <top style="thin">
        <color theme="8"/>
      </top>
      <bottom style="thin">
        <color theme="8"/>
      </bottom>
      <diagonal/>
    </border>
    <border>
      <left style="hair">
        <color theme="8"/>
      </left>
      <right style="hair">
        <color theme="8"/>
      </right>
      <top style="thin">
        <color theme="8"/>
      </top>
      <bottom style="thin">
        <color theme="8"/>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2" borderId="1" applyNumberFormat="0" applyAlignment="0" applyProtection="0">
      <alignment vertical="center"/>
    </xf>
    <xf numFmtId="0" fontId="2" fillId="2" borderId="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38" fontId="2" fillId="2" borderId="2" xfId="3" applyNumberFormat="1" applyFont="1" applyBorder="1">
      <alignment vertical="center"/>
    </xf>
    <xf numFmtId="38" fontId="4" fillId="2" borderId="3" xfId="3" applyNumberFormat="1" applyFont="1" applyBorder="1">
      <alignment vertical="center"/>
    </xf>
    <xf numFmtId="38" fontId="4" fillId="2" borderId="4" xfId="3" applyNumberFormat="1" applyFont="1" applyBorder="1">
      <alignment vertical="center"/>
    </xf>
    <xf numFmtId="38" fontId="5" fillId="0" borderId="0" xfId="4" applyFont="1">
      <alignment vertical="center"/>
    </xf>
    <xf numFmtId="38" fontId="4" fillId="2" borderId="5" xfId="3" applyNumberFormat="1" applyFont="1" applyBorder="1">
      <alignment vertical="center"/>
    </xf>
    <xf numFmtId="38" fontId="4" fillId="2" borderId="0" xfId="3" applyNumberFormat="1" applyFont="1" applyBorder="1">
      <alignment vertical="center"/>
    </xf>
    <xf numFmtId="38" fontId="4" fillId="2" borderId="6" xfId="3" applyNumberFormat="1" applyFont="1" applyBorder="1">
      <alignment vertical="center"/>
    </xf>
    <xf numFmtId="38" fontId="4" fillId="2" borderId="7" xfId="3" applyNumberFormat="1" applyFont="1" applyBorder="1">
      <alignment vertical="center"/>
    </xf>
    <xf numFmtId="38" fontId="4" fillId="2" borderId="8" xfId="3" applyNumberFormat="1" applyFont="1" applyBorder="1">
      <alignment vertical="center"/>
    </xf>
    <xf numFmtId="38" fontId="4" fillId="2" borderId="9" xfId="3" applyNumberFormat="1" applyFont="1" applyBorder="1">
      <alignment vertical="center"/>
    </xf>
    <xf numFmtId="38" fontId="4" fillId="0" borderId="0" xfId="3" applyNumberFormat="1" applyFont="1" applyFill="1" applyBorder="1">
      <alignment vertical="center"/>
    </xf>
    <xf numFmtId="38" fontId="5" fillId="0" borderId="0" xfId="4" applyFont="1" applyFill="1">
      <alignment vertical="center"/>
    </xf>
    <xf numFmtId="38" fontId="2" fillId="2" borderId="10" xfId="2" applyNumberFormat="1" applyBorder="1">
      <alignment vertical="center"/>
    </xf>
    <xf numFmtId="38" fontId="2" fillId="2" borderId="11" xfId="2" applyNumberFormat="1" applyBorder="1">
      <alignment vertical="center"/>
    </xf>
    <xf numFmtId="38" fontId="2" fillId="2" borderId="12" xfId="2" applyNumberFormat="1" applyBorder="1">
      <alignment vertical="center"/>
    </xf>
    <xf numFmtId="38" fontId="2" fillId="2" borderId="13" xfId="2" applyNumberFormat="1" applyBorder="1">
      <alignment vertical="center"/>
    </xf>
    <xf numFmtId="38" fontId="2" fillId="2" borderId="0" xfId="2" applyNumberFormat="1" applyBorder="1">
      <alignment vertical="center"/>
    </xf>
    <xf numFmtId="38" fontId="2" fillId="2" borderId="14" xfId="2" applyNumberFormat="1" applyBorder="1">
      <alignment vertical="center"/>
    </xf>
    <xf numFmtId="38" fontId="2" fillId="2" borderId="15" xfId="2" applyNumberFormat="1" applyBorder="1">
      <alignment vertical="center"/>
    </xf>
    <xf numFmtId="38" fontId="2" fillId="2" borderId="16" xfId="2" applyNumberFormat="1" applyBorder="1">
      <alignment vertical="center"/>
    </xf>
    <xf numFmtId="38" fontId="2" fillId="2" borderId="17" xfId="2" applyNumberFormat="1" applyBorder="1">
      <alignment vertical="center"/>
    </xf>
    <xf numFmtId="38" fontId="2" fillId="0" borderId="0" xfId="2" applyNumberFormat="1" applyFill="1" applyBorder="1">
      <alignment vertical="center"/>
    </xf>
    <xf numFmtId="176" fontId="5" fillId="0" borderId="0" xfId="4" applyNumberFormat="1" applyFont="1">
      <alignment vertical="center"/>
    </xf>
    <xf numFmtId="38" fontId="5" fillId="0" borderId="17" xfId="4" applyFont="1" applyBorder="1">
      <alignment vertical="center"/>
    </xf>
    <xf numFmtId="38" fontId="5" fillId="0" borderId="18" xfId="4" applyFont="1" applyBorder="1">
      <alignment vertical="center"/>
    </xf>
    <xf numFmtId="38" fontId="5" fillId="0" borderId="12" xfId="4" applyFont="1" applyBorder="1">
      <alignment vertical="center"/>
    </xf>
    <xf numFmtId="38" fontId="5" fillId="0" borderId="19" xfId="4" applyFont="1" applyBorder="1">
      <alignment vertical="center"/>
    </xf>
    <xf numFmtId="177" fontId="5" fillId="0" borderId="0" xfId="4" applyNumberFormat="1" applyFont="1">
      <alignment vertical="center"/>
    </xf>
    <xf numFmtId="38" fontId="5" fillId="0" borderId="15" xfId="4" applyFont="1" applyBorder="1">
      <alignment vertical="center"/>
    </xf>
    <xf numFmtId="38" fontId="5" fillId="0" borderId="10" xfId="4" applyFont="1" applyBorder="1">
      <alignment vertical="center"/>
    </xf>
    <xf numFmtId="176" fontId="5" fillId="0" borderId="12" xfId="4" applyNumberFormat="1" applyFont="1" applyBorder="1">
      <alignment vertical="center"/>
    </xf>
    <xf numFmtId="38" fontId="5" fillId="4" borderId="0" xfId="4" applyFont="1" applyFill="1">
      <alignment vertical="center"/>
    </xf>
    <xf numFmtId="176" fontId="5" fillId="4" borderId="0" xfId="4" applyNumberFormat="1" applyFont="1" applyFill="1">
      <alignment vertical="center"/>
    </xf>
    <xf numFmtId="40" fontId="5" fillId="4" borderId="0" xfId="4" applyNumberFormat="1" applyFont="1" applyFill="1">
      <alignment vertical="center"/>
    </xf>
    <xf numFmtId="178" fontId="5" fillId="4" borderId="0" xfId="1" applyNumberFormat="1" applyFont="1" applyFill="1">
      <alignment vertical="center"/>
    </xf>
    <xf numFmtId="38" fontId="5" fillId="0" borderId="0" xfId="4" applyFont="1" applyBorder="1">
      <alignment vertical="center"/>
    </xf>
    <xf numFmtId="10" fontId="5" fillId="4" borderId="0" xfId="1" applyNumberFormat="1" applyFont="1" applyFill="1">
      <alignment vertical="center"/>
    </xf>
    <xf numFmtId="38" fontId="6" fillId="0" borderId="0" xfId="4" applyFont="1">
      <alignment vertical="center"/>
    </xf>
    <xf numFmtId="38" fontId="5" fillId="0" borderId="11" xfId="4" applyFont="1" applyBorder="1">
      <alignment vertical="center"/>
    </xf>
    <xf numFmtId="38" fontId="5" fillId="0" borderId="13" xfId="4" applyFont="1" applyBorder="1">
      <alignment vertical="center"/>
    </xf>
    <xf numFmtId="38" fontId="5" fillId="0" borderId="14" xfId="4" applyFont="1" applyBorder="1">
      <alignment vertical="center"/>
    </xf>
    <xf numFmtId="38" fontId="5" fillId="0" borderId="16" xfId="4" applyFont="1" applyBorder="1">
      <alignment vertical="center"/>
    </xf>
    <xf numFmtId="38" fontId="5" fillId="4" borderId="0" xfId="4" applyFont="1" applyFill="1" applyBorder="1">
      <alignment vertical="center"/>
    </xf>
    <xf numFmtId="40" fontId="5" fillId="4" borderId="19" xfId="4" applyNumberFormat="1" applyFont="1" applyFill="1" applyBorder="1">
      <alignment vertical="center"/>
    </xf>
    <xf numFmtId="40" fontId="5" fillId="3" borderId="12" xfId="4" applyNumberFormat="1" applyFont="1" applyFill="1" applyBorder="1">
      <alignment vertical="center"/>
    </xf>
    <xf numFmtId="38" fontId="2" fillId="2" borderId="16" xfId="5" applyFont="1" applyFill="1" applyBorder="1">
      <alignment vertical="center"/>
    </xf>
    <xf numFmtId="38" fontId="5" fillId="0" borderId="0" xfId="5" applyFont="1">
      <alignment vertical="center"/>
    </xf>
    <xf numFmtId="38" fontId="5" fillId="0" borderId="11" xfId="5" applyFont="1" applyFill="1" applyBorder="1">
      <alignment vertical="center"/>
    </xf>
    <xf numFmtId="38" fontId="5" fillId="0" borderId="10" xfId="5" applyFont="1" applyFill="1" applyBorder="1">
      <alignment vertical="center"/>
    </xf>
    <xf numFmtId="38" fontId="5" fillId="0" borderId="12" xfId="5" applyFont="1" applyFill="1" applyBorder="1">
      <alignment vertical="center"/>
    </xf>
    <xf numFmtId="38" fontId="5" fillId="0" borderId="0" xfId="5" applyFont="1" applyFill="1" applyBorder="1">
      <alignment vertical="center"/>
    </xf>
    <xf numFmtId="38" fontId="5" fillId="0" borderId="13" xfId="5" applyFont="1" applyFill="1" applyBorder="1">
      <alignment vertical="center"/>
    </xf>
    <xf numFmtId="38" fontId="5" fillId="0" borderId="14" xfId="5" applyFont="1" applyFill="1" applyBorder="1">
      <alignment vertical="center"/>
    </xf>
    <xf numFmtId="38" fontId="5" fillId="0" borderId="17" xfId="5" applyFont="1" applyFill="1" applyBorder="1">
      <alignment vertical="center"/>
    </xf>
    <xf numFmtId="38" fontId="5" fillId="0" borderId="15" xfId="5" applyFont="1" applyFill="1" applyBorder="1">
      <alignment vertical="center"/>
    </xf>
    <xf numFmtId="38" fontId="5" fillId="0" borderId="17" xfId="4" applyFont="1" applyFill="1" applyBorder="1">
      <alignment vertical="center"/>
    </xf>
    <xf numFmtId="38" fontId="5" fillId="0" borderId="18" xfId="4" applyFont="1" applyFill="1" applyBorder="1">
      <alignment vertical="center"/>
    </xf>
    <xf numFmtId="38" fontId="5" fillId="0" borderId="15" xfId="4" applyFont="1" applyFill="1" applyBorder="1">
      <alignment vertical="center"/>
    </xf>
    <xf numFmtId="38" fontId="5" fillId="0" borderId="12" xfId="4" applyFont="1" applyFill="1" applyBorder="1">
      <alignment vertical="center"/>
    </xf>
    <xf numFmtId="38" fontId="5" fillId="0" borderId="19" xfId="4" applyFont="1" applyFill="1" applyBorder="1">
      <alignment vertical="center"/>
    </xf>
    <xf numFmtId="38" fontId="5" fillId="0" borderId="10" xfId="4" applyFont="1" applyFill="1" applyBorder="1">
      <alignment vertical="center"/>
    </xf>
    <xf numFmtId="38" fontId="5" fillId="0" borderId="0" xfId="4" applyFont="1" applyFill="1" applyBorder="1">
      <alignment vertical="center"/>
    </xf>
    <xf numFmtId="38" fontId="5" fillId="0" borderId="0" xfId="5" applyFont="1" applyFill="1">
      <alignment vertical="center"/>
    </xf>
    <xf numFmtId="177" fontId="5" fillId="0" borderId="0" xfId="4" applyNumberFormat="1" applyFont="1" applyFill="1">
      <alignment vertical="center"/>
    </xf>
    <xf numFmtId="38" fontId="5" fillId="0" borderId="13" xfId="4" applyFont="1" applyFill="1" applyBorder="1">
      <alignment vertical="center"/>
    </xf>
    <xf numFmtId="38" fontId="5" fillId="0" borderId="19" xfId="5" applyFont="1" applyFill="1" applyBorder="1">
      <alignment vertical="center"/>
    </xf>
    <xf numFmtId="38" fontId="5" fillId="5" borderId="10" xfId="4" applyFont="1" applyFill="1" applyBorder="1">
      <alignment vertical="center"/>
    </xf>
    <xf numFmtId="38" fontId="5" fillId="5" borderId="12" xfId="5" applyFont="1" applyFill="1" applyBorder="1">
      <alignment vertical="center"/>
    </xf>
    <xf numFmtId="38" fontId="5" fillId="5" borderId="15" xfId="4" applyFont="1" applyFill="1" applyBorder="1">
      <alignment vertical="center"/>
    </xf>
    <xf numFmtId="38" fontId="5" fillId="5" borderId="17" xfId="5" applyFont="1" applyFill="1" applyBorder="1">
      <alignment vertical="center"/>
    </xf>
    <xf numFmtId="38" fontId="5" fillId="5" borderId="0" xfId="5" applyFont="1" applyFill="1" applyBorder="1">
      <alignment vertical="center"/>
    </xf>
    <xf numFmtId="38" fontId="5" fillId="5" borderId="16" xfId="5" applyFont="1" applyFill="1" applyBorder="1">
      <alignment vertical="center"/>
    </xf>
    <xf numFmtId="38" fontId="5" fillId="5" borderId="19" xfId="4" applyFont="1" applyFill="1" applyBorder="1">
      <alignment vertical="center"/>
    </xf>
    <xf numFmtId="38" fontId="5" fillId="5" borderId="23" xfId="4" applyFont="1" applyFill="1" applyBorder="1">
      <alignment vertical="center"/>
    </xf>
    <xf numFmtId="38" fontId="5" fillId="5" borderId="18" xfId="4" applyFont="1" applyFill="1" applyBorder="1">
      <alignment vertical="center"/>
    </xf>
    <xf numFmtId="38" fontId="5" fillId="5" borderId="19" xfId="5" applyFont="1" applyFill="1" applyBorder="1">
      <alignment vertical="center"/>
    </xf>
    <xf numFmtId="38" fontId="5" fillId="5" borderId="18" xfId="5" applyFont="1" applyFill="1" applyBorder="1">
      <alignment vertical="center"/>
    </xf>
    <xf numFmtId="38" fontId="5" fillId="0" borderId="16" xfId="5" quotePrefix="1" applyFont="1" applyFill="1" applyBorder="1" applyAlignment="1">
      <alignment horizontal="right" vertical="center"/>
    </xf>
    <xf numFmtId="176" fontId="5" fillId="0" borderId="0" xfId="4" applyNumberFormat="1" applyFont="1" applyFill="1">
      <alignment vertical="center"/>
    </xf>
    <xf numFmtId="179" fontId="5" fillId="0" borderId="0" xfId="4" applyNumberFormat="1" applyFont="1" applyFill="1">
      <alignment vertical="center"/>
    </xf>
    <xf numFmtId="176" fontId="5" fillId="0" borderId="0" xfId="5" applyNumberFormat="1" applyFont="1" applyFill="1" applyBorder="1">
      <alignment vertical="center"/>
    </xf>
    <xf numFmtId="38" fontId="5" fillId="3" borderId="0" xfId="4" applyFont="1" applyFill="1">
      <alignment vertical="center"/>
    </xf>
    <xf numFmtId="10" fontId="5" fillId="3" borderId="0" xfId="1" applyNumberFormat="1" applyFont="1" applyFill="1">
      <alignment vertical="center"/>
    </xf>
    <xf numFmtId="38" fontId="5" fillId="0" borderId="20" xfId="4" applyFont="1" applyBorder="1">
      <alignment vertical="center"/>
    </xf>
    <xf numFmtId="9" fontId="5" fillId="0" borderId="0" xfId="1" applyFont="1">
      <alignment vertical="center"/>
    </xf>
    <xf numFmtId="178" fontId="5" fillId="0" borderId="0" xfId="1" applyNumberFormat="1" applyFont="1">
      <alignment vertical="center"/>
    </xf>
    <xf numFmtId="179" fontId="5" fillId="0" borderId="0" xfId="4" applyNumberFormat="1" applyFont="1">
      <alignment vertical="center"/>
    </xf>
    <xf numFmtId="9" fontId="5" fillId="0" borderId="12" xfId="1" applyFont="1" applyBorder="1">
      <alignment vertical="center"/>
    </xf>
    <xf numFmtId="9" fontId="5" fillId="0" borderId="17" xfId="1" applyFont="1" applyBorder="1">
      <alignment vertical="center"/>
    </xf>
    <xf numFmtId="9" fontId="5" fillId="0" borderId="22" xfId="1" applyFont="1" applyBorder="1">
      <alignment vertical="center"/>
    </xf>
    <xf numFmtId="9" fontId="5" fillId="0" borderId="0" xfId="1" applyFont="1" applyFill="1">
      <alignment vertical="center"/>
    </xf>
    <xf numFmtId="178" fontId="5" fillId="3" borderId="0" xfId="1" applyNumberFormat="1" applyFont="1" applyFill="1">
      <alignment vertical="center"/>
    </xf>
    <xf numFmtId="38" fontId="5" fillId="6" borderId="0" xfId="4" applyFont="1" applyFill="1" applyBorder="1">
      <alignment vertical="center"/>
    </xf>
    <xf numFmtId="38" fontId="5" fillId="7" borderId="0" xfId="5" applyFont="1" applyFill="1" applyBorder="1">
      <alignment vertical="center"/>
    </xf>
    <xf numFmtId="38" fontId="5" fillId="7" borderId="0" xfId="4" applyFont="1" applyFill="1" applyBorder="1">
      <alignment vertical="center"/>
    </xf>
    <xf numFmtId="176" fontId="5" fillId="7" borderId="0" xfId="5" applyNumberFormat="1" applyFont="1" applyFill="1" applyBorder="1">
      <alignment vertical="center"/>
    </xf>
    <xf numFmtId="38" fontId="5" fillId="6" borderId="0" xfId="4" applyFont="1" applyFill="1">
      <alignment vertical="center"/>
    </xf>
    <xf numFmtId="38" fontId="5" fillId="0" borderId="0" xfId="4" applyFont="1" applyFill="1" applyAlignment="1">
      <alignment horizontal="right" vertical="center"/>
    </xf>
    <xf numFmtId="38" fontId="6" fillId="0" borderId="0" xfId="4" applyFont="1" applyFill="1">
      <alignment vertical="center"/>
    </xf>
    <xf numFmtId="38" fontId="5" fillId="7" borderId="19" xfId="5" applyFont="1" applyFill="1" applyBorder="1">
      <alignment vertical="center"/>
    </xf>
    <xf numFmtId="38" fontId="5" fillId="7" borderId="18" xfId="5" applyFont="1" applyFill="1" applyBorder="1">
      <alignment vertical="center"/>
    </xf>
    <xf numFmtId="38" fontId="5" fillId="7" borderId="0" xfId="4" applyFont="1" applyFill="1">
      <alignment vertical="center"/>
    </xf>
    <xf numFmtId="38" fontId="5" fillId="8" borderId="0" xfId="4" applyFont="1" applyFill="1">
      <alignment vertical="center"/>
    </xf>
    <xf numFmtId="38" fontId="5" fillId="6" borderId="0" xfId="5" applyFont="1" applyFill="1">
      <alignment vertical="center"/>
    </xf>
    <xf numFmtId="38" fontId="5" fillId="8" borderId="0" xfId="4" applyFont="1" applyFill="1" applyBorder="1">
      <alignment vertical="center"/>
    </xf>
    <xf numFmtId="38" fontId="5" fillId="0" borderId="23" xfId="4" applyFont="1" applyFill="1" applyBorder="1">
      <alignment vertical="center"/>
    </xf>
    <xf numFmtId="38" fontId="5" fillId="0" borderId="24" xfId="4" applyFont="1" applyFill="1" applyBorder="1">
      <alignment vertical="center"/>
    </xf>
    <xf numFmtId="38" fontId="2" fillId="8" borderId="13" xfId="2" applyNumberFormat="1" applyFill="1" applyBorder="1">
      <alignment vertical="center"/>
    </xf>
    <xf numFmtId="38" fontId="2" fillId="7" borderId="13" xfId="2" applyNumberFormat="1" applyFill="1" applyBorder="1">
      <alignment vertical="center"/>
    </xf>
    <xf numFmtId="38" fontId="2" fillId="5" borderId="13" xfId="2" applyNumberFormat="1" applyFill="1" applyBorder="1">
      <alignment vertical="center"/>
    </xf>
    <xf numFmtId="38" fontId="2" fillId="6" borderId="13" xfId="2" applyNumberFormat="1" applyFill="1" applyBorder="1">
      <alignment vertical="center"/>
    </xf>
    <xf numFmtId="38" fontId="5" fillId="0" borderId="25" xfId="4" applyFont="1" applyBorder="1">
      <alignment vertical="center"/>
    </xf>
    <xf numFmtId="38" fontId="5" fillId="0" borderId="26" xfId="4" applyFont="1" applyBorder="1">
      <alignment vertical="center"/>
    </xf>
    <xf numFmtId="38" fontId="5" fillId="0" borderId="27" xfId="4" applyFont="1" applyBorder="1">
      <alignment vertical="center"/>
    </xf>
    <xf numFmtId="38" fontId="5" fillId="0" borderId="28" xfId="4" applyFont="1" applyBorder="1">
      <alignment vertical="center"/>
    </xf>
    <xf numFmtId="38" fontId="5" fillId="0" borderId="29" xfId="4" applyFont="1" applyBorder="1">
      <alignment vertical="center"/>
    </xf>
    <xf numFmtId="38" fontId="5" fillId="0" borderId="30" xfId="4" applyFont="1" applyBorder="1">
      <alignment vertical="center"/>
    </xf>
    <xf numFmtId="38" fontId="5" fillId="0" borderId="0" xfId="4" applyFont="1" applyAlignment="1">
      <alignment horizontal="right" vertical="center"/>
    </xf>
    <xf numFmtId="177" fontId="5" fillId="0" borderId="0" xfId="5" applyNumberFormat="1" applyFont="1">
      <alignment vertical="center"/>
    </xf>
    <xf numFmtId="38" fontId="0" fillId="0" borderId="0" xfId="5" applyFont="1">
      <alignment vertical="center"/>
    </xf>
    <xf numFmtId="176" fontId="0" fillId="3" borderId="0" xfId="5" applyNumberFormat="1" applyFont="1" applyFill="1">
      <alignment vertical="center"/>
    </xf>
    <xf numFmtId="38" fontId="0" fillId="9" borderId="0" xfId="5" applyFont="1" applyFill="1">
      <alignment vertical="center"/>
    </xf>
    <xf numFmtId="38" fontId="0" fillId="3" borderId="0" xfId="5" applyFont="1" applyFill="1">
      <alignment vertical="center"/>
    </xf>
    <xf numFmtId="38" fontId="0" fillId="10" borderId="0" xfId="5" applyFont="1" applyFill="1">
      <alignment vertical="center"/>
    </xf>
    <xf numFmtId="9" fontId="0" fillId="10" borderId="0" xfId="1" applyFont="1" applyFill="1">
      <alignment vertical="center"/>
    </xf>
    <xf numFmtId="38" fontId="0" fillId="10" borderId="0" xfId="5" applyFont="1" applyFill="1" applyBorder="1">
      <alignment vertical="center"/>
    </xf>
    <xf numFmtId="38" fontId="0" fillId="10" borderId="17" xfId="5" applyFont="1" applyFill="1" applyBorder="1">
      <alignment vertical="center"/>
    </xf>
    <xf numFmtId="38" fontId="0" fillId="10" borderId="16" xfId="5" applyFont="1" applyFill="1" applyBorder="1">
      <alignment vertical="center"/>
    </xf>
    <xf numFmtId="38" fontId="0" fillId="10" borderId="15" xfId="5" applyFont="1" applyFill="1" applyBorder="1">
      <alignment vertical="center"/>
    </xf>
    <xf numFmtId="38" fontId="0" fillId="10" borderId="14" xfId="5" applyFont="1" applyFill="1" applyBorder="1">
      <alignment vertical="center"/>
    </xf>
    <xf numFmtId="38" fontId="0" fillId="10" borderId="13" xfId="5" applyFont="1" applyFill="1" applyBorder="1">
      <alignment vertical="center"/>
    </xf>
    <xf numFmtId="176" fontId="0" fillId="10" borderId="0" xfId="5" applyNumberFormat="1" applyFont="1" applyFill="1">
      <alignment vertical="center"/>
    </xf>
    <xf numFmtId="38" fontId="0" fillId="10" borderId="12" xfId="5" applyFont="1" applyFill="1" applyBorder="1">
      <alignment vertical="center"/>
    </xf>
    <xf numFmtId="38" fontId="0" fillId="10" borderId="11" xfId="5" applyFont="1" applyFill="1" applyBorder="1">
      <alignment vertical="center"/>
    </xf>
    <xf numFmtId="38" fontId="0" fillId="10" borderId="10" xfId="5" applyFont="1" applyFill="1" applyBorder="1">
      <alignment vertical="center"/>
    </xf>
    <xf numFmtId="38" fontId="5" fillId="9" borderId="0" xfId="4" applyFont="1" applyFill="1">
      <alignment vertical="center"/>
    </xf>
    <xf numFmtId="38" fontId="0" fillId="3" borderId="32" xfId="5" applyFont="1" applyFill="1" applyBorder="1">
      <alignment vertical="center"/>
    </xf>
    <xf numFmtId="38" fontId="0" fillId="0" borderId="16" xfId="5" applyFont="1" applyBorder="1">
      <alignment vertical="center"/>
    </xf>
    <xf numFmtId="38" fontId="0" fillId="0" borderId="11" xfId="5" applyFont="1" applyBorder="1">
      <alignment vertical="center"/>
    </xf>
    <xf numFmtId="38" fontId="0" fillId="3" borderId="31" xfId="5" applyFont="1" applyFill="1" applyBorder="1">
      <alignment vertical="center"/>
    </xf>
    <xf numFmtId="38" fontId="0" fillId="9" borderId="31" xfId="5" applyFont="1" applyFill="1" applyBorder="1">
      <alignment vertical="center"/>
    </xf>
    <xf numFmtId="38" fontId="0" fillId="9" borderId="21" xfId="5" applyFont="1" applyFill="1" applyBorder="1">
      <alignment vertical="center"/>
    </xf>
    <xf numFmtId="38" fontId="0" fillId="0" borderId="0" xfId="5" quotePrefix="1" applyFont="1">
      <alignment vertical="center"/>
    </xf>
    <xf numFmtId="176" fontId="0" fillId="0" borderId="0" xfId="5" applyNumberFormat="1" applyFont="1">
      <alignment vertical="center"/>
    </xf>
    <xf numFmtId="38" fontId="6" fillId="3" borderId="0" xfId="5" applyFont="1" applyFill="1">
      <alignment vertical="center"/>
    </xf>
    <xf numFmtId="176" fontId="6" fillId="9" borderId="31" xfId="5" applyNumberFormat="1" applyFont="1" applyFill="1" applyBorder="1">
      <alignment vertical="center"/>
    </xf>
    <xf numFmtId="38" fontId="6" fillId="9" borderId="31" xfId="5" applyFont="1" applyFill="1" applyBorder="1">
      <alignment vertical="center"/>
    </xf>
    <xf numFmtId="38" fontId="6" fillId="0" borderId="0" xfId="5" applyFont="1">
      <alignment vertical="center"/>
    </xf>
    <xf numFmtId="38" fontId="6" fillId="9" borderId="0" xfId="4" applyFont="1" applyFill="1">
      <alignment vertical="center"/>
    </xf>
    <xf numFmtId="38" fontId="5" fillId="9" borderId="31" xfId="4" applyFont="1" applyFill="1" applyBorder="1">
      <alignment vertical="center"/>
    </xf>
    <xf numFmtId="0" fontId="9" fillId="11" borderId="33" xfId="0" applyFont="1" applyFill="1" applyBorder="1">
      <alignment vertical="center"/>
    </xf>
    <xf numFmtId="0" fontId="9" fillId="11" borderId="34" xfId="0" applyFont="1" applyFill="1" applyBorder="1">
      <alignment vertical="center"/>
    </xf>
    <xf numFmtId="0" fontId="0" fillId="13" borderId="35" xfId="0" applyFont="1" applyFill="1" applyBorder="1">
      <alignment vertical="center"/>
    </xf>
    <xf numFmtId="0" fontId="0" fillId="13" borderId="36" xfId="0" applyFont="1" applyFill="1" applyBorder="1">
      <alignment vertical="center"/>
    </xf>
    <xf numFmtId="180" fontId="0" fillId="13" borderId="36" xfId="0" applyNumberFormat="1" applyFont="1" applyFill="1" applyBorder="1">
      <alignment vertical="center"/>
    </xf>
    <xf numFmtId="0" fontId="0" fillId="13" borderId="37" xfId="0" applyFont="1" applyFill="1" applyBorder="1">
      <alignment vertical="center"/>
    </xf>
    <xf numFmtId="0" fontId="0" fillId="13" borderId="38" xfId="0" applyFont="1" applyFill="1" applyBorder="1">
      <alignment vertical="center"/>
    </xf>
    <xf numFmtId="180" fontId="0" fillId="13" borderId="38" xfId="0" applyNumberFormat="1" applyFont="1" applyFill="1" applyBorder="1">
      <alignment vertical="center"/>
    </xf>
    <xf numFmtId="0" fontId="0" fillId="13" borderId="36" xfId="0" applyFont="1" applyFill="1" applyBorder="1" applyAlignment="1">
      <alignment horizontal="center" vertical="center"/>
    </xf>
    <xf numFmtId="0" fontId="0" fillId="13" borderId="38" xfId="0" applyFont="1" applyFill="1" applyBorder="1" applyAlignment="1">
      <alignment horizontal="center" vertical="center"/>
    </xf>
    <xf numFmtId="0" fontId="0" fillId="13" borderId="36" xfId="0" applyFont="1" applyFill="1" applyBorder="1" applyAlignment="1">
      <alignment horizontal="left" vertical="center"/>
    </xf>
    <xf numFmtId="0" fontId="0" fillId="13" borderId="36" xfId="0" applyFont="1" applyFill="1" applyBorder="1" applyAlignment="1">
      <alignment vertical="center"/>
    </xf>
    <xf numFmtId="0" fontId="0" fillId="13" borderId="38" xfId="0" applyFont="1" applyFill="1" applyBorder="1" applyAlignment="1">
      <alignment vertical="center"/>
    </xf>
    <xf numFmtId="0" fontId="0" fillId="12" borderId="36" xfId="0" applyFont="1" applyFill="1" applyBorder="1" applyAlignment="1">
      <alignment vertical="center"/>
    </xf>
    <xf numFmtId="0" fontId="0" fillId="12" borderId="36" xfId="0" applyFont="1" applyFill="1" applyBorder="1" applyAlignment="1">
      <alignment horizontal="center" vertical="center"/>
    </xf>
    <xf numFmtId="0" fontId="0" fillId="12" borderId="36" xfId="0" applyFont="1" applyFill="1" applyBorder="1" applyAlignment="1">
      <alignment horizontal="left" vertical="center"/>
    </xf>
    <xf numFmtId="0" fontId="0" fillId="14" borderId="35" xfId="0" applyFont="1" applyFill="1" applyBorder="1">
      <alignment vertical="center"/>
    </xf>
    <xf numFmtId="0" fontId="0" fillId="14" borderId="36" xfId="0" applyFont="1" applyFill="1" applyBorder="1">
      <alignment vertical="center"/>
    </xf>
    <xf numFmtId="0" fontId="0" fillId="14" borderId="36" xfId="0" applyFont="1" applyFill="1" applyBorder="1" applyAlignment="1">
      <alignment horizontal="center" vertical="center"/>
    </xf>
    <xf numFmtId="180" fontId="0" fillId="14" borderId="36" xfId="0" applyNumberFormat="1" applyFont="1" applyFill="1" applyBorder="1">
      <alignment vertical="center"/>
    </xf>
    <xf numFmtId="0" fontId="0" fillId="14" borderId="36" xfId="0" applyFont="1" applyFill="1" applyBorder="1" applyAlignment="1">
      <alignment vertical="center"/>
    </xf>
    <xf numFmtId="38" fontId="5" fillId="3" borderId="31" xfId="4" applyFont="1" applyFill="1" applyBorder="1">
      <alignment vertical="center"/>
    </xf>
    <xf numFmtId="38" fontId="10" fillId="0" borderId="0" xfId="2" applyNumberFormat="1" applyFont="1" applyFill="1" applyBorder="1">
      <alignment vertical="center"/>
    </xf>
    <xf numFmtId="38" fontId="5" fillId="0" borderId="23" xfId="4" applyFont="1" applyBorder="1">
      <alignment vertical="center"/>
    </xf>
    <xf numFmtId="38" fontId="5" fillId="0" borderId="21" xfId="4" applyFont="1" applyBorder="1">
      <alignment vertical="center"/>
    </xf>
    <xf numFmtId="177" fontId="5" fillId="0" borderId="20" xfId="4" applyNumberFormat="1" applyFont="1" applyBorder="1">
      <alignment vertical="center"/>
    </xf>
    <xf numFmtId="38" fontId="5" fillId="0" borderId="22" xfId="4" applyFont="1" applyBorder="1">
      <alignment vertical="center"/>
    </xf>
    <xf numFmtId="38" fontId="5" fillId="9" borderId="20" xfId="4" applyFont="1" applyFill="1" applyBorder="1">
      <alignment vertical="center"/>
    </xf>
    <xf numFmtId="38" fontId="5" fillId="9" borderId="21" xfId="4" applyFont="1" applyFill="1" applyBorder="1">
      <alignment vertical="center"/>
    </xf>
    <xf numFmtId="38" fontId="5" fillId="9" borderId="22" xfId="4" applyFont="1" applyFill="1" applyBorder="1">
      <alignment vertical="center"/>
    </xf>
    <xf numFmtId="176" fontId="5" fillId="3" borderId="0" xfId="5" applyNumberFormat="1" applyFont="1" applyFill="1">
      <alignment vertical="center"/>
    </xf>
    <xf numFmtId="38" fontId="5" fillId="0" borderId="31" xfId="4" applyFont="1" applyBorder="1">
      <alignment vertical="center"/>
    </xf>
    <xf numFmtId="38" fontId="11" fillId="0" borderId="0" xfId="4" applyFont="1">
      <alignment vertical="center"/>
    </xf>
    <xf numFmtId="38" fontId="5" fillId="9" borderId="0" xfId="5" applyFont="1" applyFill="1">
      <alignment vertical="center"/>
    </xf>
    <xf numFmtId="38" fontId="5" fillId="10" borderId="0" xfId="4" applyFont="1" applyFill="1">
      <alignment vertical="center"/>
    </xf>
    <xf numFmtId="176" fontId="5" fillId="10" borderId="0" xfId="4" applyNumberFormat="1" applyFont="1" applyFill="1">
      <alignment vertical="center"/>
    </xf>
    <xf numFmtId="0" fontId="0" fillId="13" borderId="36" xfId="0" applyFont="1" applyFill="1" applyBorder="1" applyAlignment="1">
      <alignment horizontal="right" vertical="center"/>
    </xf>
    <xf numFmtId="0" fontId="0" fillId="13" borderId="38" xfId="0" applyFont="1" applyFill="1" applyBorder="1" applyAlignment="1">
      <alignment horizontal="right" vertical="center"/>
    </xf>
    <xf numFmtId="38" fontId="5" fillId="15" borderId="11" xfId="4" applyFont="1" applyFill="1" applyBorder="1">
      <alignment vertical="center"/>
    </xf>
    <xf numFmtId="38" fontId="5" fillId="15" borderId="11" xfId="5" applyFont="1" applyFill="1" applyBorder="1">
      <alignment vertical="center"/>
    </xf>
    <xf numFmtId="38" fontId="5" fillId="15" borderId="12" xfId="4" applyFont="1" applyFill="1" applyBorder="1">
      <alignment vertical="center"/>
    </xf>
    <xf numFmtId="38" fontId="5" fillId="15" borderId="13" xfId="4" applyFont="1" applyFill="1" applyBorder="1">
      <alignment vertical="center"/>
    </xf>
    <xf numFmtId="38" fontId="5" fillId="15" borderId="0" xfId="4" applyFont="1" applyFill="1" applyBorder="1">
      <alignment vertical="center"/>
    </xf>
    <xf numFmtId="38" fontId="5" fillId="15" borderId="0" xfId="5" applyFont="1" applyFill="1" applyBorder="1">
      <alignment vertical="center"/>
    </xf>
    <xf numFmtId="38" fontId="5" fillId="15" borderId="14" xfId="4" applyFont="1" applyFill="1" applyBorder="1">
      <alignment vertical="center"/>
    </xf>
    <xf numFmtId="38" fontId="5" fillId="15" borderId="15" xfId="4" applyFont="1" applyFill="1" applyBorder="1">
      <alignment vertical="center"/>
    </xf>
    <xf numFmtId="38" fontId="5" fillId="15" borderId="16" xfId="4" applyFont="1" applyFill="1" applyBorder="1">
      <alignment vertical="center"/>
    </xf>
    <xf numFmtId="38" fontId="5" fillId="15" borderId="17" xfId="4" applyFont="1" applyFill="1" applyBorder="1">
      <alignment vertical="center"/>
    </xf>
    <xf numFmtId="38" fontId="12" fillId="15" borderId="11" xfId="4" applyFont="1" applyFill="1" applyBorder="1">
      <alignment vertical="center"/>
    </xf>
    <xf numFmtId="0" fontId="9" fillId="11" borderId="34" xfId="0" applyFont="1" applyFill="1" applyBorder="1" applyAlignment="1">
      <alignment horizontal="center" vertical="center"/>
    </xf>
    <xf numFmtId="0" fontId="0" fillId="0" borderId="0" xfId="0" applyAlignment="1">
      <alignment horizontal="center" vertical="center"/>
    </xf>
    <xf numFmtId="0" fontId="0" fillId="13" borderId="0" xfId="0" applyFont="1" applyFill="1" applyBorder="1">
      <alignment vertical="center"/>
    </xf>
    <xf numFmtId="0" fontId="0" fillId="14" borderId="36" xfId="0" applyFont="1" applyFill="1" applyBorder="1" applyAlignment="1">
      <alignment horizontal="center" vertical="top" textRotation="45" wrapText="1"/>
    </xf>
    <xf numFmtId="38" fontId="5" fillId="4" borderId="31" xfId="4" applyFont="1" applyFill="1" applyBorder="1">
      <alignment vertical="center"/>
    </xf>
    <xf numFmtId="38" fontId="5" fillId="10" borderId="21" xfId="4" applyFont="1" applyFill="1" applyBorder="1">
      <alignment vertical="center"/>
    </xf>
    <xf numFmtId="38" fontId="5" fillId="3" borderId="21" xfId="4" applyFont="1" applyFill="1" applyBorder="1">
      <alignment vertical="center"/>
    </xf>
    <xf numFmtId="38" fontId="2" fillId="2" borderId="9" xfId="2" applyNumberFormat="1" applyBorder="1">
      <alignment vertical="center"/>
    </xf>
    <xf numFmtId="38" fontId="2" fillId="2" borderId="8" xfId="2" applyNumberFormat="1" applyBorder="1">
      <alignment vertical="center"/>
    </xf>
    <xf numFmtId="38" fontId="2" fillId="2" borderId="7" xfId="2" applyNumberFormat="1" applyBorder="1">
      <alignment vertical="center"/>
    </xf>
    <xf numFmtId="38" fontId="2" fillId="2" borderId="6" xfId="2" applyNumberFormat="1" applyBorder="1">
      <alignment vertical="center"/>
    </xf>
    <xf numFmtId="38" fontId="2" fillId="2" borderId="5" xfId="2" applyNumberFormat="1" applyBorder="1">
      <alignment vertical="center"/>
    </xf>
    <xf numFmtId="38" fontId="2" fillId="2" borderId="4" xfId="2" applyNumberFormat="1" applyBorder="1">
      <alignment vertical="center"/>
    </xf>
    <xf numFmtId="38" fontId="2" fillId="2" borderId="3" xfId="2" applyNumberFormat="1" applyBorder="1">
      <alignment vertical="center"/>
    </xf>
    <xf numFmtId="38" fontId="2" fillId="2" borderId="2" xfId="2" applyNumberFormat="1" applyBorder="1">
      <alignment vertical="center"/>
    </xf>
    <xf numFmtId="38" fontId="5" fillId="6" borderId="17" xfId="4" applyFont="1" applyFill="1" applyBorder="1">
      <alignment vertical="center"/>
    </xf>
    <xf numFmtId="38" fontId="5" fillId="6" borderId="16" xfId="4" applyFont="1" applyFill="1" applyBorder="1">
      <alignment vertical="center"/>
    </xf>
    <xf numFmtId="38" fontId="5" fillId="6" borderId="15" xfId="4" applyFont="1" applyFill="1" applyBorder="1">
      <alignment vertical="center"/>
    </xf>
    <xf numFmtId="38" fontId="5" fillId="6" borderId="14" xfId="4" applyFont="1" applyFill="1" applyBorder="1">
      <alignment vertical="center"/>
    </xf>
    <xf numFmtId="38" fontId="5" fillId="7" borderId="31" xfId="4" applyFont="1" applyFill="1" applyBorder="1">
      <alignment vertical="center"/>
    </xf>
    <xf numFmtId="38" fontId="5" fillId="6" borderId="13" xfId="4" applyFont="1" applyFill="1" applyBorder="1">
      <alignment vertical="center"/>
    </xf>
    <xf numFmtId="38" fontId="5" fillId="6" borderId="12" xfId="4" applyFont="1" applyFill="1" applyBorder="1">
      <alignment vertical="center"/>
    </xf>
    <xf numFmtId="38" fontId="5" fillId="6" borderId="11" xfId="4" applyFont="1" applyFill="1" applyBorder="1">
      <alignment vertical="center"/>
    </xf>
    <xf numFmtId="38" fontId="6" fillId="6" borderId="11" xfId="4" applyFont="1" applyFill="1" applyBorder="1">
      <alignment vertical="center"/>
    </xf>
    <xf numFmtId="38" fontId="5" fillId="6" borderId="10" xfId="4" applyFont="1" applyFill="1" applyBorder="1">
      <alignment vertical="center"/>
    </xf>
    <xf numFmtId="38" fontId="2" fillId="6" borderId="17" xfId="2" applyNumberFormat="1" applyFill="1" applyBorder="1">
      <alignment vertical="center"/>
    </xf>
    <xf numFmtId="38" fontId="2" fillId="6" borderId="16" xfId="2" applyNumberFormat="1" applyFill="1" applyBorder="1">
      <alignment vertical="center"/>
    </xf>
    <xf numFmtId="38" fontId="2" fillId="6" borderId="16" xfId="5" applyFont="1" applyFill="1" applyBorder="1">
      <alignment vertical="center"/>
    </xf>
    <xf numFmtId="38" fontId="2" fillId="6" borderId="15" xfId="2" applyNumberFormat="1" applyFill="1" applyBorder="1">
      <alignment vertical="center"/>
    </xf>
    <xf numFmtId="38" fontId="2" fillId="6" borderId="14" xfId="2" applyNumberFormat="1" applyFill="1" applyBorder="1">
      <alignment vertical="center"/>
    </xf>
    <xf numFmtId="38" fontId="2" fillId="6" borderId="0" xfId="2" applyNumberFormat="1" applyFill="1" applyBorder="1">
      <alignment vertical="center"/>
    </xf>
    <xf numFmtId="38" fontId="2" fillId="6" borderId="12" xfId="2" applyNumberFormat="1" applyFill="1" applyBorder="1">
      <alignment vertical="center"/>
    </xf>
    <xf numFmtId="38" fontId="2" fillId="6" borderId="11" xfId="2" applyNumberFormat="1" applyFill="1" applyBorder="1">
      <alignment vertical="center"/>
    </xf>
    <xf numFmtId="38" fontId="2" fillId="6" borderId="10" xfId="2" applyNumberFormat="1" applyFill="1" applyBorder="1">
      <alignment vertical="center"/>
    </xf>
    <xf numFmtId="179" fontId="5" fillId="3" borderId="0" xfId="4" applyNumberFormat="1" applyFont="1" applyFill="1">
      <alignment vertical="center"/>
    </xf>
    <xf numFmtId="38" fontId="5" fillId="0" borderId="16" xfId="5" applyFont="1" applyFill="1" applyBorder="1">
      <alignment vertical="center"/>
    </xf>
    <xf numFmtId="38" fontId="5" fillId="5" borderId="13" xfId="4" applyFont="1" applyFill="1" applyBorder="1">
      <alignment vertical="center"/>
    </xf>
    <xf numFmtId="38" fontId="5" fillId="16" borderId="0" xfId="4" applyFont="1" applyFill="1">
      <alignment vertical="center"/>
    </xf>
    <xf numFmtId="179" fontId="5" fillId="9" borderId="0" xfId="4" applyNumberFormat="1" applyFont="1" applyFill="1">
      <alignment vertical="center"/>
    </xf>
    <xf numFmtId="38" fontId="5" fillId="10" borderId="10" xfId="4" applyFont="1" applyFill="1" applyBorder="1">
      <alignment vertical="center"/>
    </xf>
    <xf numFmtId="38" fontId="5" fillId="10" borderId="19" xfId="4" applyFont="1" applyFill="1" applyBorder="1">
      <alignment vertical="center"/>
    </xf>
    <xf numFmtId="38" fontId="5" fillId="10" borderId="12" xfId="4" applyFont="1" applyFill="1" applyBorder="1">
      <alignment vertical="center"/>
    </xf>
    <xf numFmtId="38" fontId="5" fillId="10" borderId="18" xfId="4" applyFont="1" applyFill="1" applyBorder="1">
      <alignment vertical="center"/>
    </xf>
    <xf numFmtId="38" fontId="5" fillId="10" borderId="17" xfId="4" applyFont="1" applyFill="1" applyBorder="1">
      <alignment vertical="center"/>
    </xf>
    <xf numFmtId="40" fontId="5" fillId="3" borderId="0" xfId="4" applyNumberFormat="1" applyFont="1" applyFill="1">
      <alignment vertical="center"/>
    </xf>
    <xf numFmtId="177" fontId="5" fillId="3" borderId="20" xfId="4" applyNumberFormat="1" applyFont="1" applyFill="1" applyBorder="1" applyAlignment="1">
      <alignment horizontal="center" vertical="center"/>
    </xf>
    <xf numFmtId="177" fontId="5" fillId="3" borderId="21" xfId="4" applyNumberFormat="1" applyFont="1" applyFill="1" applyBorder="1" applyAlignment="1">
      <alignment horizontal="center" vertical="center"/>
    </xf>
    <xf numFmtId="177" fontId="5" fillId="3" borderId="22" xfId="4" applyNumberFormat="1" applyFont="1" applyFill="1" applyBorder="1" applyAlignment="1">
      <alignment horizontal="center" vertical="center"/>
    </xf>
    <xf numFmtId="177" fontId="5" fillId="0" borderId="20" xfId="4" applyNumberFormat="1" applyFont="1" applyBorder="1" applyAlignment="1">
      <alignment horizontal="center" vertical="center"/>
    </xf>
    <xf numFmtId="177" fontId="5" fillId="0" borderId="21" xfId="4" applyNumberFormat="1" applyFont="1" applyBorder="1" applyAlignment="1">
      <alignment horizontal="center" vertical="center"/>
    </xf>
    <xf numFmtId="177" fontId="5" fillId="0" borderId="22" xfId="4" applyNumberFormat="1" applyFont="1" applyBorder="1" applyAlignment="1">
      <alignment horizontal="center" vertical="center"/>
    </xf>
    <xf numFmtId="38" fontId="5" fillId="0" borderId="0" xfId="4" applyFont="1" applyAlignment="1">
      <alignment horizontal="center" vertical="center"/>
    </xf>
  </cellXfs>
  <cellStyles count="6">
    <cellStyle name="パーセント" xfId="1" builtinId="5"/>
    <cellStyle name="桁区切り" xfId="5" builtinId="6"/>
    <cellStyle name="桁区切り 2" xfId="4"/>
    <cellStyle name="出力" xfId="2" builtinId="21"/>
    <cellStyle name="出力 2" xfId="3"/>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opLeftCell="A19" workbookViewId="0">
      <selection activeCell="O23" sqref="O23"/>
    </sheetView>
  </sheetViews>
  <sheetFormatPr defaultRowHeight="16.2" x14ac:dyDescent="0.4"/>
  <cols>
    <col min="1" max="1" width="8.44140625" customWidth="1"/>
    <col min="2" max="2" width="1.88671875" customWidth="1"/>
    <col min="3" max="3" width="10.44140625" customWidth="1"/>
    <col min="4" max="4" width="25.109375" customWidth="1"/>
    <col min="5" max="5" width="7.88671875" customWidth="1"/>
    <col min="6" max="6" width="3.6640625" style="201" customWidth="1"/>
    <col min="7" max="11" width="3.33203125" customWidth="1"/>
    <col min="12" max="12" width="12.33203125" customWidth="1"/>
  </cols>
  <sheetData>
    <row r="1" spans="1:12" x14ac:dyDescent="0.4">
      <c r="A1" s="151" t="s">
        <v>295</v>
      </c>
      <c r="B1" s="152" t="s">
        <v>294</v>
      </c>
      <c r="C1" s="152"/>
      <c r="D1" s="152" t="s">
        <v>293</v>
      </c>
      <c r="E1" s="152"/>
      <c r="F1" s="200"/>
      <c r="G1" s="152" t="s">
        <v>292</v>
      </c>
      <c r="H1" s="152"/>
      <c r="I1" s="152"/>
      <c r="J1" s="152"/>
      <c r="K1" s="152"/>
      <c r="L1" s="152"/>
    </row>
    <row r="2" spans="1:12" ht="88.2" x14ac:dyDescent="0.4">
      <c r="A2" s="167" t="s">
        <v>286</v>
      </c>
      <c r="B2" s="168"/>
      <c r="C2" s="168"/>
      <c r="D2" s="168"/>
      <c r="E2" s="169" t="s">
        <v>291</v>
      </c>
      <c r="F2" s="203" t="s">
        <v>721</v>
      </c>
      <c r="G2" s="203" t="s">
        <v>290</v>
      </c>
      <c r="H2" s="203" t="s">
        <v>289</v>
      </c>
      <c r="I2" s="203" t="s">
        <v>288</v>
      </c>
      <c r="J2" s="203" t="s">
        <v>287</v>
      </c>
      <c r="K2" s="203" t="s">
        <v>301</v>
      </c>
      <c r="L2" s="203" t="s">
        <v>588</v>
      </c>
    </row>
    <row r="3" spans="1:12" x14ac:dyDescent="0.4">
      <c r="A3" s="153" t="s">
        <v>325</v>
      </c>
      <c r="B3" s="154" t="s">
        <v>285</v>
      </c>
      <c r="C3" s="155">
        <v>2</v>
      </c>
      <c r="D3" s="154" t="s">
        <v>284</v>
      </c>
      <c r="E3" s="164"/>
      <c r="F3" s="165"/>
      <c r="G3" s="165"/>
      <c r="H3" s="165"/>
      <c r="I3" s="165"/>
      <c r="J3" s="165"/>
      <c r="K3" s="165"/>
      <c r="L3" s="166"/>
    </row>
    <row r="4" spans="1:12" x14ac:dyDescent="0.4">
      <c r="A4" s="153" t="s">
        <v>283</v>
      </c>
      <c r="B4" s="154" t="s">
        <v>324</v>
      </c>
      <c r="C4" s="155">
        <v>4</v>
      </c>
      <c r="D4" s="154" t="s">
        <v>282</v>
      </c>
      <c r="E4" s="164"/>
      <c r="F4" s="165"/>
      <c r="G4" s="165"/>
      <c r="H4" s="165"/>
      <c r="I4" s="165"/>
      <c r="J4" s="165"/>
      <c r="K4" s="165"/>
      <c r="L4" s="166"/>
    </row>
    <row r="5" spans="1:12" x14ac:dyDescent="0.4">
      <c r="A5" s="153" t="s">
        <v>281</v>
      </c>
      <c r="B5" s="154" t="s">
        <v>244</v>
      </c>
      <c r="C5" s="155">
        <v>4</v>
      </c>
      <c r="D5" s="154" t="s">
        <v>280</v>
      </c>
      <c r="E5" s="164"/>
      <c r="F5" s="165"/>
      <c r="G5" s="165"/>
      <c r="H5" s="165"/>
      <c r="I5" s="165"/>
      <c r="J5" s="165"/>
      <c r="K5" s="165"/>
      <c r="L5" s="166"/>
    </row>
    <row r="6" spans="1:12" x14ac:dyDescent="0.4">
      <c r="A6" s="153" t="s">
        <v>279</v>
      </c>
      <c r="B6" s="154" t="s">
        <v>285</v>
      </c>
      <c r="C6" s="155">
        <v>2</v>
      </c>
      <c r="D6" s="154" t="s">
        <v>278</v>
      </c>
      <c r="E6" s="162" t="s">
        <v>277</v>
      </c>
      <c r="F6" s="159" t="s">
        <v>722</v>
      </c>
      <c r="G6" s="159" t="s">
        <v>275</v>
      </c>
      <c r="H6" s="159" t="s">
        <v>275</v>
      </c>
      <c r="I6" s="159" t="s">
        <v>275</v>
      </c>
      <c r="J6" s="159" t="s">
        <v>275</v>
      </c>
      <c r="K6" s="159"/>
      <c r="L6" s="161"/>
    </row>
    <row r="7" spans="1:12" x14ac:dyDescent="0.4">
      <c r="A7" s="153"/>
      <c r="B7" s="154"/>
      <c r="C7" s="155"/>
      <c r="D7" s="154"/>
      <c r="E7" s="162" t="s">
        <v>276</v>
      </c>
      <c r="F7" s="159"/>
      <c r="G7" s="159" t="s">
        <v>275</v>
      </c>
      <c r="H7" s="159" t="s">
        <v>275</v>
      </c>
      <c r="I7" s="159" t="s">
        <v>275</v>
      </c>
      <c r="J7" s="159" t="s">
        <v>275</v>
      </c>
      <c r="K7" s="159"/>
      <c r="L7" s="161" t="s">
        <v>717</v>
      </c>
    </row>
    <row r="8" spans="1:12" x14ac:dyDescent="0.4">
      <c r="A8" s="153" t="s">
        <v>274</v>
      </c>
      <c r="B8" s="154" t="s">
        <v>285</v>
      </c>
      <c r="C8" s="155">
        <v>2</v>
      </c>
      <c r="D8" s="154" t="s">
        <v>273</v>
      </c>
      <c r="E8" s="162" t="s">
        <v>272</v>
      </c>
      <c r="F8" s="159" t="s">
        <v>722</v>
      </c>
      <c r="G8" s="159" t="s">
        <v>275</v>
      </c>
      <c r="H8" s="159" t="s">
        <v>297</v>
      </c>
      <c r="I8" s="159" t="s">
        <v>275</v>
      </c>
      <c r="J8" s="159" t="s">
        <v>275</v>
      </c>
      <c r="K8" s="159"/>
      <c r="L8" s="161" t="s">
        <v>296</v>
      </c>
    </row>
    <row r="9" spans="1:12" x14ac:dyDescent="0.4">
      <c r="A9" s="153"/>
      <c r="B9" s="154"/>
      <c r="C9" s="155"/>
      <c r="D9" s="154"/>
      <c r="E9" s="162" t="s">
        <v>271</v>
      </c>
      <c r="F9" s="159"/>
      <c r="G9" s="159" t="s">
        <v>275</v>
      </c>
      <c r="H9" s="159" t="s">
        <v>718</v>
      </c>
      <c r="I9" s="159" t="s">
        <v>275</v>
      </c>
      <c r="J9" s="159" t="s">
        <v>719</v>
      </c>
      <c r="K9" s="159" t="s">
        <v>275</v>
      </c>
      <c r="L9" s="161"/>
    </row>
    <row r="10" spans="1:12" x14ac:dyDescent="0.4">
      <c r="A10" s="153" t="s">
        <v>270</v>
      </c>
      <c r="B10" s="154" t="s">
        <v>232</v>
      </c>
      <c r="C10" s="155">
        <v>1</v>
      </c>
      <c r="D10" s="154" t="s">
        <v>269</v>
      </c>
      <c r="E10" s="162" t="s">
        <v>723</v>
      </c>
      <c r="F10" s="159"/>
      <c r="G10" s="159" t="s">
        <v>275</v>
      </c>
      <c r="H10" s="159"/>
      <c r="I10" s="159" t="s">
        <v>275</v>
      </c>
      <c r="J10" s="159" t="s">
        <v>275</v>
      </c>
      <c r="K10" s="159"/>
      <c r="L10" s="161" t="s">
        <v>298</v>
      </c>
    </row>
    <row r="11" spans="1:12" x14ac:dyDescent="0.4">
      <c r="A11" s="153" t="s">
        <v>268</v>
      </c>
      <c r="B11" s="154" t="s">
        <v>728</v>
      </c>
      <c r="C11" s="155">
        <v>3</v>
      </c>
      <c r="D11" s="154" t="s">
        <v>267</v>
      </c>
      <c r="E11" s="162" t="s">
        <v>266</v>
      </c>
      <c r="F11" s="159" t="s">
        <v>722</v>
      </c>
      <c r="G11" s="159" t="s">
        <v>275</v>
      </c>
      <c r="H11" s="159"/>
      <c r="I11" s="159"/>
      <c r="J11" s="159"/>
      <c r="K11" s="159"/>
      <c r="L11" s="161" t="s">
        <v>299</v>
      </c>
    </row>
    <row r="12" spans="1:12" x14ac:dyDescent="0.4">
      <c r="A12" s="153" t="s">
        <v>265</v>
      </c>
      <c r="B12" s="154" t="s">
        <v>285</v>
      </c>
      <c r="C12" s="155">
        <v>2</v>
      </c>
      <c r="D12" s="154" t="s">
        <v>264</v>
      </c>
      <c r="E12" s="162" t="s">
        <v>323</v>
      </c>
      <c r="F12" s="159" t="s">
        <v>722</v>
      </c>
      <c r="G12" s="159"/>
      <c r="H12" s="159"/>
      <c r="I12" s="159"/>
      <c r="J12" s="159"/>
      <c r="K12" s="159" t="s">
        <v>275</v>
      </c>
      <c r="L12" s="161" t="s">
        <v>300</v>
      </c>
    </row>
    <row r="13" spans="1:12" x14ac:dyDescent="0.4">
      <c r="A13" s="153" t="s">
        <v>263</v>
      </c>
      <c r="B13" s="154" t="s">
        <v>232</v>
      </c>
      <c r="C13" s="155">
        <v>1</v>
      </c>
      <c r="D13" s="154" t="s">
        <v>262</v>
      </c>
      <c r="E13" s="164"/>
      <c r="F13" s="165"/>
      <c r="G13" s="165"/>
      <c r="H13" s="165"/>
      <c r="I13" s="165"/>
      <c r="J13" s="165"/>
      <c r="K13" s="165"/>
      <c r="L13" s="166"/>
    </row>
    <row r="14" spans="1:12" ht="72.75" customHeight="1" x14ac:dyDescent="0.4">
      <c r="A14" s="167" t="s">
        <v>261</v>
      </c>
      <c r="B14" s="168"/>
      <c r="C14" s="170"/>
      <c r="D14" s="168"/>
      <c r="E14" s="171"/>
      <c r="F14" s="169"/>
      <c r="G14" s="203" t="s">
        <v>56</v>
      </c>
      <c r="H14" s="203" t="s">
        <v>79</v>
      </c>
      <c r="I14" s="203" t="s">
        <v>321</v>
      </c>
      <c r="J14" s="203" t="s">
        <v>320</v>
      </c>
      <c r="K14" s="203" t="s">
        <v>319</v>
      </c>
      <c r="L14" s="203" t="s">
        <v>322</v>
      </c>
    </row>
    <row r="15" spans="1:12" x14ac:dyDescent="0.4">
      <c r="A15" s="153" t="s">
        <v>318</v>
      </c>
      <c r="B15" s="154" t="s">
        <v>244</v>
      </c>
      <c r="C15" s="155">
        <v>4</v>
      </c>
      <c r="D15" s="154" t="s">
        <v>260</v>
      </c>
      <c r="E15" s="164"/>
      <c r="F15" s="165"/>
      <c r="G15" s="165"/>
      <c r="H15" s="165"/>
      <c r="I15" s="165"/>
      <c r="J15" s="165"/>
      <c r="K15" s="165"/>
      <c r="L15" s="165"/>
    </row>
    <row r="16" spans="1:12" x14ac:dyDescent="0.4">
      <c r="A16" s="153" t="s">
        <v>259</v>
      </c>
      <c r="B16" s="154" t="s">
        <v>244</v>
      </c>
      <c r="C16" s="155">
        <v>4</v>
      </c>
      <c r="D16" s="154" t="s">
        <v>258</v>
      </c>
      <c r="E16" s="164"/>
      <c r="F16" s="165"/>
      <c r="G16" s="165"/>
      <c r="H16" s="165"/>
      <c r="I16" s="165"/>
      <c r="J16" s="165"/>
      <c r="K16" s="165"/>
      <c r="L16" s="164"/>
    </row>
    <row r="17" spans="1:12" x14ac:dyDescent="0.4">
      <c r="A17" s="153" t="s">
        <v>257</v>
      </c>
      <c r="B17" s="154" t="s">
        <v>244</v>
      </c>
      <c r="C17" s="155">
        <v>4</v>
      </c>
      <c r="D17" s="154" t="s">
        <v>256</v>
      </c>
      <c r="E17" s="162" t="s">
        <v>255</v>
      </c>
      <c r="F17" s="159" t="s">
        <v>722</v>
      </c>
      <c r="G17" s="159" t="s">
        <v>275</v>
      </c>
      <c r="H17" s="159" t="s">
        <v>275</v>
      </c>
      <c r="I17" s="159"/>
      <c r="J17" s="159"/>
      <c r="K17" s="159"/>
      <c r="L17" s="162" t="s">
        <v>317</v>
      </c>
    </row>
    <row r="18" spans="1:12" x14ac:dyDescent="0.4">
      <c r="A18" s="153"/>
      <c r="B18" s="154"/>
      <c r="C18" s="155"/>
      <c r="D18" s="154"/>
      <c r="E18" s="162" t="s">
        <v>254</v>
      </c>
      <c r="F18" s="159"/>
      <c r="G18" s="159" t="s">
        <v>275</v>
      </c>
      <c r="H18" s="159" t="s">
        <v>275</v>
      </c>
      <c r="I18" s="159"/>
      <c r="J18" s="159"/>
      <c r="K18" s="159"/>
      <c r="L18" s="162" t="s">
        <v>99</v>
      </c>
    </row>
    <row r="19" spans="1:12" x14ac:dyDescent="0.4">
      <c r="A19" s="153"/>
      <c r="B19" s="154"/>
      <c r="C19" s="155"/>
      <c r="D19" s="154"/>
      <c r="E19" s="162" t="s">
        <v>253</v>
      </c>
      <c r="F19" s="159"/>
      <c r="G19" s="159" t="s">
        <v>275</v>
      </c>
      <c r="H19" s="159" t="s">
        <v>275</v>
      </c>
      <c r="I19" s="159"/>
      <c r="J19" s="159"/>
      <c r="K19" s="159" t="s">
        <v>275</v>
      </c>
      <c r="L19" s="162"/>
    </row>
    <row r="20" spans="1:12" x14ac:dyDescent="0.4">
      <c r="A20" s="153" t="s">
        <v>251</v>
      </c>
      <c r="B20" s="154" t="s">
        <v>232</v>
      </c>
      <c r="C20" s="155">
        <v>1</v>
      </c>
      <c r="D20" s="154" t="s">
        <v>250</v>
      </c>
      <c r="E20" s="162" t="s">
        <v>252</v>
      </c>
      <c r="F20" s="159" t="s">
        <v>722</v>
      </c>
      <c r="G20" s="159" t="s">
        <v>275</v>
      </c>
      <c r="H20" s="159"/>
      <c r="I20" s="159"/>
      <c r="J20" s="159"/>
      <c r="K20" s="159"/>
      <c r="L20" s="162" t="s">
        <v>316</v>
      </c>
    </row>
    <row r="21" spans="1:12" x14ac:dyDescent="0.4">
      <c r="A21" s="153" t="s">
        <v>249</v>
      </c>
      <c r="B21" s="154" t="s">
        <v>239</v>
      </c>
      <c r="C21" s="155">
        <v>3</v>
      </c>
      <c r="D21" s="154" t="s">
        <v>248</v>
      </c>
      <c r="E21" s="164"/>
      <c r="F21" s="165"/>
      <c r="G21" s="165"/>
      <c r="H21" s="165"/>
      <c r="I21" s="165"/>
      <c r="J21" s="165"/>
      <c r="K21" s="165"/>
      <c r="L21" s="164"/>
    </row>
    <row r="22" spans="1:12" x14ac:dyDescent="0.4">
      <c r="A22" s="153" t="s">
        <v>247</v>
      </c>
      <c r="B22" s="154" t="s">
        <v>239</v>
      </c>
      <c r="C22" s="155">
        <v>3</v>
      </c>
      <c r="D22" s="154" t="s">
        <v>246</v>
      </c>
      <c r="E22" s="164"/>
      <c r="F22" s="165"/>
      <c r="G22" s="165"/>
      <c r="H22" s="165"/>
      <c r="I22" s="165"/>
      <c r="J22" s="165"/>
      <c r="K22" s="165"/>
      <c r="L22" s="164"/>
    </row>
    <row r="23" spans="1:12" x14ac:dyDescent="0.4">
      <c r="A23" s="153" t="s">
        <v>245</v>
      </c>
      <c r="B23" s="154" t="s">
        <v>244</v>
      </c>
      <c r="C23" s="155">
        <v>4</v>
      </c>
      <c r="D23" s="154" t="s">
        <v>243</v>
      </c>
      <c r="E23" s="162" t="s">
        <v>242</v>
      </c>
      <c r="F23" s="159" t="s">
        <v>722</v>
      </c>
      <c r="G23" s="159" t="s">
        <v>275</v>
      </c>
      <c r="H23" s="159" t="s">
        <v>275</v>
      </c>
      <c r="I23" s="159" t="s">
        <v>275</v>
      </c>
      <c r="J23" s="159" t="s">
        <v>275</v>
      </c>
      <c r="K23" s="159"/>
      <c r="L23" s="162" t="s">
        <v>99</v>
      </c>
    </row>
    <row r="24" spans="1:12" x14ac:dyDescent="0.4">
      <c r="A24" s="153"/>
      <c r="B24" s="154"/>
      <c r="C24" s="155"/>
      <c r="D24" s="154"/>
      <c r="E24" s="162" t="s">
        <v>241</v>
      </c>
      <c r="F24" s="159" t="s">
        <v>722</v>
      </c>
      <c r="G24" s="159" t="s">
        <v>275</v>
      </c>
      <c r="H24" s="159" t="s">
        <v>275</v>
      </c>
      <c r="I24" s="159" t="s">
        <v>275</v>
      </c>
      <c r="J24" s="159" t="s">
        <v>718</v>
      </c>
      <c r="K24" s="159"/>
      <c r="L24" s="162" t="s">
        <v>315</v>
      </c>
    </row>
    <row r="25" spans="1:12" x14ac:dyDescent="0.4">
      <c r="A25" s="153" t="s">
        <v>240</v>
      </c>
      <c r="B25" s="154" t="s">
        <v>239</v>
      </c>
      <c r="C25" s="155">
        <v>3</v>
      </c>
      <c r="D25" s="154" t="s">
        <v>238</v>
      </c>
      <c r="E25" s="162" t="s">
        <v>237</v>
      </c>
      <c r="F25" s="159" t="s">
        <v>722</v>
      </c>
      <c r="G25" s="159" t="s">
        <v>275</v>
      </c>
      <c r="H25" s="159" t="s">
        <v>275</v>
      </c>
      <c r="I25" s="159" t="s">
        <v>275</v>
      </c>
      <c r="J25" s="159"/>
      <c r="K25" s="159"/>
      <c r="L25" s="162"/>
    </row>
    <row r="26" spans="1:12" x14ac:dyDescent="0.4">
      <c r="A26" s="153"/>
      <c r="B26" s="154"/>
      <c r="C26" s="155"/>
      <c r="D26" s="154"/>
      <c r="E26" s="162" t="s">
        <v>236</v>
      </c>
      <c r="F26" s="159"/>
      <c r="G26" s="159" t="s">
        <v>275</v>
      </c>
      <c r="H26" s="159" t="s">
        <v>275</v>
      </c>
      <c r="I26" s="159" t="s">
        <v>275</v>
      </c>
      <c r="J26" s="159"/>
      <c r="K26" s="159"/>
      <c r="L26" s="162" t="s">
        <v>720</v>
      </c>
    </row>
    <row r="27" spans="1:12" x14ac:dyDescent="0.4">
      <c r="A27" s="153" t="s">
        <v>235</v>
      </c>
      <c r="B27" s="154" t="s">
        <v>232</v>
      </c>
      <c r="C27" s="155">
        <v>1</v>
      </c>
      <c r="D27" s="154" t="s">
        <v>234</v>
      </c>
      <c r="E27" s="162" t="s">
        <v>724</v>
      </c>
      <c r="F27" s="159"/>
      <c r="G27" s="159"/>
      <c r="H27" s="159"/>
      <c r="I27" s="159"/>
      <c r="J27" s="159"/>
      <c r="K27" s="159"/>
      <c r="L27" s="162"/>
    </row>
    <row r="28" spans="1:12" x14ac:dyDescent="0.4">
      <c r="A28" s="153" t="s">
        <v>233</v>
      </c>
      <c r="B28" s="154" t="s">
        <v>232</v>
      </c>
      <c r="C28" s="155">
        <v>1</v>
      </c>
      <c r="D28" s="154" t="s">
        <v>231</v>
      </c>
      <c r="E28" s="162" t="s">
        <v>230</v>
      </c>
      <c r="F28" s="159" t="s">
        <v>722</v>
      </c>
      <c r="G28" s="159" t="s">
        <v>275</v>
      </c>
      <c r="H28" s="159" t="s">
        <v>707</v>
      </c>
      <c r="I28" s="159" t="s">
        <v>708</v>
      </c>
      <c r="J28" s="159"/>
      <c r="K28" s="159"/>
      <c r="L28" s="162" t="s">
        <v>709</v>
      </c>
    </row>
    <row r="29" spans="1:12" x14ac:dyDescent="0.4">
      <c r="A29" s="167" t="s">
        <v>229</v>
      </c>
      <c r="B29" s="168"/>
      <c r="C29" s="170"/>
      <c r="D29" s="168"/>
      <c r="E29" s="171"/>
      <c r="F29" s="169"/>
      <c r="G29" s="169"/>
      <c r="H29" s="169"/>
      <c r="I29" s="169"/>
      <c r="J29" s="169"/>
      <c r="K29" s="169"/>
      <c r="L29" s="171"/>
    </row>
    <row r="30" spans="1:12" x14ac:dyDescent="0.4">
      <c r="A30" s="153" t="s">
        <v>314</v>
      </c>
      <c r="B30" s="154" t="s">
        <v>285</v>
      </c>
      <c r="C30" s="155">
        <v>2</v>
      </c>
      <c r="D30" s="154" t="s">
        <v>228</v>
      </c>
      <c r="E30" s="162" t="s">
        <v>227</v>
      </c>
      <c r="F30" s="159"/>
      <c r="G30" s="159"/>
      <c r="H30" s="159"/>
      <c r="I30" s="159"/>
      <c r="J30" s="159"/>
      <c r="K30" s="159"/>
      <c r="L30" s="187"/>
    </row>
    <row r="31" spans="1:12" x14ac:dyDescent="0.4">
      <c r="A31" s="156" t="s">
        <v>313</v>
      </c>
      <c r="B31" s="157" t="s">
        <v>312</v>
      </c>
      <c r="C31" s="158">
        <v>2</v>
      </c>
      <c r="D31" s="157" t="s">
        <v>226</v>
      </c>
      <c r="E31" s="163" t="s">
        <v>225</v>
      </c>
      <c r="F31" s="160"/>
      <c r="G31" s="160"/>
      <c r="H31" s="160"/>
      <c r="I31" s="160"/>
      <c r="J31" s="160"/>
      <c r="K31" s="160"/>
      <c r="L31" s="188"/>
    </row>
    <row r="32" spans="1:12" x14ac:dyDescent="0.4">
      <c r="D32" t="s">
        <v>726</v>
      </c>
    </row>
    <row r="33" spans="4:4" x14ac:dyDescent="0.4">
      <c r="D33" s="202" t="s">
        <v>725</v>
      </c>
    </row>
    <row r="34" spans="4:4" x14ac:dyDescent="0.4">
      <c r="D34" s="202" t="s">
        <v>727</v>
      </c>
    </row>
  </sheetData>
  <phoneticPr fontId="3"/>
  <conditionalFormatting sqref="C30:C31 C3:C13 C15:C28">
    <cfRule type="dataBar" priority="1">
      <dataBar>
        <cfvo type="min"/>
        <cfvo type="max"/>
        <color rgb="FF638EC6"/>
      </dataBar>
      <extLst>
        <ext xmlns:x14="http://schemas.microsoft.com/office/spreadsheetml/2009/9/main" uri="{B025F937-C7B1-47D3-B67F-A62EFF666E3E}">
          <x14:id>{19E26C8D-3878-4B78-9A05-B0DE8037A68B}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9E26C8D-3878-4B78-9A05-B0DE8037A68B}">
            <x14:dataBar minLength="0" maxLength="100" border="1" negativeBarBorderColorSameAsPositive="0">
              <x14:cfvo type="autoMin"/>
              <x14:cfvo type="autoMax"/>
              <x14:borderColor rgb="FF638EC6"/>
              <x14:negativeFillColor rgb="FFFF0000"/>
              <x14:negativeBorderColor rgb="FFFF0000"/>
              <x14:axisColor rgb="FF000000"/>
            </x14:dataBar>
          </x14:cfRule>
          <xm:sqref>C30:C31 C3:C13 C15:C28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7" x14ac:dyDescent="0.4">
      <c r="A1" s="1" t="s">
        <v>302</v>
      </c>
      <c r="B1" s="2"/>
      <c r="C1" s="2"/>
      <c r="D1" s="2"/>
      <c r="E1" s="2"/>
      <c r="F1" s="2"/>
      <c r="G1" s="2"/>
      <c r="H1" s="2"/>
      <c r="I1" s="2"/>
      <c r="J1" s="2"/>
      <c r="K1" s="2"/>
      <c r="L1" s="2"/>
      <c r="M1" s="2"/>
      <c r="N1" s="2"/>
      <c r="O1" s="2"/>
      <c r="P1" s="2"/>
      <c r="Q1" s="3"/>
    </row>
    <row r="2" spans="1:17" x14ac:dyDescent="0.4">
      <c r="A2" s="5" t="s">
        <v>567</v>
      </c>
      <c r="B2" s="6"/>
      <c r="C2" s="6"/>
      <c r="D2" s="6"/>
      <c r="E2" s="6"/>
      <c r="F2" s="6"/>
      <c r="G2" s="6"/>
      <c r="H2" s="6"/>
      <c r="I2" s="6"/>
      <c r="J2" s="6"/>
      <c r="K2" s="6"/>
      <c r="L2" s="6"/>
      <c r="M2" s="6"/>
      <c r="N2" s="6"/>
      <c r="O2" s="6"/>
      <c r="P2" s="6"/>
      <c r="Q2" s="7"/>
    </row>
    <row r="3" spans="1:17" x14ac:dyDescent="0.4">
      <c r="A3" s="8" t="s">
        <v>566</v>
      </c>
      <c r="B3" s="9"/>
      <c r="C3" s="9"/>
      <c r="D3" s="9"/>
      <c r="E3" s="9"/>
      <c r="F3" s="9"/>
      <c r="G3" s="9"/>
      <c r="H3" s="9"/>
      <c r="I3" s="9"/>
      <c r="J3" s="9"/>
      <c r="K3" s="9"/>
      <c r="L3" s="9"/>
      <c r="M3" s="9"/>
      <c r="N3" s="9"/>
      <c r="O3" s="9"/>
      <c r="P3" s="9"/>
      <c r="Q3" s="10"/>
    </row>
    <row r="4" spans="1:17" s="12" customFormat="1" x14ac:dyDescent="0.4">
      <c r="A4" s="11"/>
      <c r="B4" s="11"/>
      <c r="C4" s="11"/>
      <c r="D4" s="11"/>
      <c r="E4" s="11"/>
      <c r="F4" s="11"/>
      <c r="G4" s="11"/>
      <c r="H4" s="11"/>
      <c r="I4" s="11"/>
      <c r="J4" s="11"/>
      <c r="K4" s="11"/>
      <c r="L4" s="11"/>
      <c r="M4" s="11"/>
      <c r="N4" s="11"/>
      <c r="O4" s="11"/>
      <c r="P4" s="11"/>
      <c r="Q4" s="11"/>
    </row>
    <row r="5" spans="1:17" ht="18" customHeight="1" x14ac:dyDescent="0.4">
      <c r="A5" s="13" t="s">
        <v>0</v>
      </c>
      <c r="B5" s="14"/>
      <c r="C5" s="14"/>
      <c r="D5" s="14"/>
      <c r="E5" s="14"/>
      <c r="F5" s="14"/>
      <c r="G5" s="14"/>
      <c r="H5" s="14"/>
      <c r="I5" s="14"/>
      <c r="J5" s="14"/>
      <c r="K5" s="14"/>
      <c r="L5" s="14"/>
      <c r="M5" s="14"/>
      <c r="N5" s="14"/>
      <c r="O5" s="14"/>
      <c r="P5" s="14"/>
      <c r="Q5" s="15"/>
    </row>
    <row r="6" spans="1:17" x14ac:dyDescent="0.4">
      <c r="A6" s="16" t="s">
        <v>565</v>
      </c>
      <c r="B6" s="17"/>
      <c r="C6" s="17"/>
      <c r="D6" s="17"/>
      <c r="E6" s="17"/>
      <c r="F6" s="17"/>
      <c r="G6" s="17"/>
      <c r="H6" s="17"/>
      <c r="I6" s="17"/>
      <c r="J6" s="17"/>
      <c r="K6" s="17"/>
      <c r="L6" s="17"/>
      <c r="M6" s="17"/>
      <c r="N6" s="17"/>
      <c r="O6" s="17"/>
      <c r="P6" s="17"/>
      <c r="Q6" s="18"/>
    </row>
    <row r="7" spans="1:17" x14ac:dyDescent="0.4">
      <c r="A7" s="19" t="s">
        <v>564</v>
      </c>
      <c r="B7" s="20"/>
      <c r="C7" s="20"/>
      <c r="D7" s="20"/>
      <c r="E7" s="20"/>
      <c r="F7" s="20"/>
      <c r="G7" s="20"/>
      <c r="H7" s="20"/>
      <c r="I7" s="20"/>
      <c r="J7" s="20"/>
      <c r="K7" s="20"/>
      <c r="L7" s="20"/>
      <c r="M7" s="20"/>
      <c r="N7" s="20"/>
      <c r="O7" s="20"/>
      <c r="P7" s="20"/>
      <c r="Q7" s="21"/>
    </row>
    <row r="8" spans="1:17" s="120" customFormat="1" x14ac:dyDescent="0.4"/>
    <row r="9" spans="1:17" x14ac:dyDescent="0.4">
      <c r="A9" s="4" t="s">
        <v>349</v>
      </c>
    </row>
    <row r="10" spans="1:17" x14ac:dyDescent="0.4">
      <c r="A10" s="4" t="s">
        <v>563</v>
      </c>
      <c r="B10" s="4" t="s">
        <v>562</v>
      </c>
      <c r="C10" s="4">
        <v>10000</v>
      </c>
    </row>
    <row r="11" spans="1:17" x14ac:dyDescent="0.4">
      <c r="B11" s="4" t="s">
        <v>561</v>
      </c>
      <c r="C11" s="4">
        <v>5000</v>
      </c>
    </row>
    <row r="13" spans="1:17" x14ac:dyDescent="0.4">
      <c r="A13" s="4" t="s">
        <v>560</v>
      </c>
      <c r="B13" s="4" t="s">
        <v>559</v>
      </c>
      <c r="D13" s="4">
        <v>300</v>
      </c>
    </row>
    <row r="14" spans="1:17" x14ac:dyDescent="0.4">
      <c r="B14" s="4" t="s">
        <v>558</v>
      </c>
      <c r="D14" s="4">
        <v>1700</v>
      </c>
    </row>
    <row r="16" spans="1:17" x14ac:dyDescent="0.4">
      <c r="A16" s="4" t="s">
        <v>557</v>
      </c>
      <c r="B16" s="4" t="s">
        <v>556</v>
      </c>
      <c r="E16" s="4">
        <v>500</v>
      </c>
    </row>
    <row r="17" spans="1:5" x14ac:dyDescent="0.4">
      <c r="B17" s="4" t="s">
        <v>555</v>
      </c>
      <c r="E17" s="4">
        <f>+C11*0.1</f>
        <v>500</v>
      </c>
    </row>
    <row r="19" spans="1:5" x14ac:dyDescent="0.4">
      <c r="A19" s="4" t="s">
        <v>554</v>
      </c>
      <c r="B19" s="4" t="s">
        <v>553</v>
      </c>
    </row>
    <row r="21" spans="1:5" x14ac:dyDescent="0.4">
      <c r="A21" s="4" t="s">
        <v>552</v>
      </c>
    </row>
    <row r="22" spans="1:5" x14ac:dyDescent="0.4">
      <c r="B22" s="4" t="s">
        <v>551</v>
      </c>
      <c r="C22" s="4" t="s">
        <v>550</v>
      </c>
    </row>
    <row r="23" spans="1:5" x14ac:dyDescent="0.4">
      <c r="B23" s="4" t="s">
        <v>549</v>
      </c>
      <c r="C23" s="4" t="s">
        <v>548</v>
      </c>
    </row>
    <row r="24" spans="1:5" x14ac:dyDescent="0.4">
      <c r="B24" s="4" t="s">
        <v>547</v>
      </c>
      <c r="D24" s="82">
        <f>+SQRT((D13+D14)*C10/SUM(E16:E17)*2)</f>
        <v>200</v>
      </c>
    </row>
    <row r="26" spans="1:5" x14ac:dyDescent="0.4">
      <c r="A26" s="4" t="s">
        <v>345</v>
      </c>
      <c r="B26" s="4" t="s">
        <v>546</v>
      </c>
    </row>
    <row r="28" spans="1:5" x14ac:dyDescent="0.4">
      <c r="C28" s="4" t="s">
        <v>188</v>
      </c>
      <c r="E28" s="4" t="s">
        <v>196</v>
      </c>
    </row>
    <row r="29" spans="1:5" x14ac:dyDescent="0.4">
      <c r="C29" s="4" t="s">
        <v>545</v>
      </c>
      <c r="E29" s="4" t="s">
        <v>544</v>
      </c>
    </row>
    <row r="30" spans="1:5" x14ac:dyDescent="0.4">
      <c r="B30" s="4" t="s">
        <v>543</v>
      </c>
      <c r="C30" s="4">
        <f>+SUM(D13:D14)*C10/125</f>
        <v>160000</v>
      </c>
      <c r="E30" s="4">
        <f>+SUM(D13:D14)*C10/200</f>
        <v>100000</v>
      </c>
    </row>
    <row r="31" spans="1:5" x14ac:dyDescent="0.4">
      <c r="B31" s="4" t="s">
        <v>542</v>
      </c>
      <c r="C31" s="4">
        <f>+SUM(E16:E17)*62.5</f>
        <v>62500</v>
      </c>
      <c r="E31" s="4">
        <f>+SUM(E16:E17)*100</f>
        <v>100000</v>
      </c>
    </row>
    <row r="32" spans="1:5" x14ac:dyDescent="0.4">
      <c r="B32" s="4" t="s">
        <v>541</v>
      </c>
      <c r="E32" s="4">
        <v>20000</v>
      </c>
    </row>
    <row r="33" spans="2:6" ht="16.8" thickBot="1" x14ac:dyDescent="0.45">
      <c r="B33" s="4" t="s">
        <v>540</v>
      </c>
      <c r="C33" s="150">
        <f>+SUM(C30:C32)</f>
        <v>222500</v>
      </c>
      <c r="E33" s="150">
        <f>+SUM(E30:E32)</f>
        <v>220000</v>
      </c>
      <c r="F33" s="4" t="s">
        <v>539</v>
      </c>
    </row>
    <row r="34" spans="2:6" ht="16.8" thickTop="1" x14ac:dyDescent="0.4"/>
  </sheetData>
  <phoneticPr fontId="3"/>
  <pageMargins left="0.25" right="0.25" top="0.75" bottom="0.75" header="0.3" footer="0.3"/>
  <pageSetup paperSize="9" scale="74"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9" x14ac:dyDescent="0.4">
      <c r="A1" s="1" t="s">
        <v>302</v>
      </c>
      <c r="B1" s="2"/>
      <c r="C1" s="2"/>
      <c r="D1" s="2"/>
      <c r="E1" s="2"/>
      <c r="F1" s="2"/>
      <c r="G1" s="2"/>
      <c r="H1" s="2"/>
      <c r="I1" s="2"/>
      <c r="J1" s="2"/>
      <c r="K1" s="2"/>
      <c r="L1" s="2"/>
      <c r="M1" s="2"/>
      <c r="N1" s="2"/>
      <c r="O1" s="2"/>
      <c r="P1" s="2"/>
      <c r="Q1" s="3"/>
    </row>
    <row r="2" spans="1:19" x14ac:dyDescent="0.4">
      <c r="A2" s="5" t="s">
        <v>304</v>
      </c>
      <c r="B2" s="6"/>
      <c r="C2" s="6"/>
      <c r="D2" s="6"/>
      <c r="E2" s="6"/>
      <c r="F2" s="6"/>
      <c r="G2" s="6"/>
      <c r="H2" s="6"/>
      <c r="I2" s="6"/>
      <c r="J2" s="6"/>
      <c r="K2" s="6"/>
      <c r="L2" s="6"/>
      <c r="M2" s="6"/>
      <c r="N2" s="6"/>
      <c r="O2" s="6"/>
      <c r="P2" s="6"/>
      <c r="Q2" s="7"/>
    </row>
    <row r="3" spans="1:19" x14ac:dyDescent="0.4">
      <c r="A3" s="8" t="s">
        <v>2</v>
      </c>
      <c r="B3" s="9"/>
      <c r="C3" s="9"/>
      <c r="D3" s="9"/>
      <c r="E3" s="9"/>
      <c r="F3" s="9"/>
      <c r="G3" s="9"/>
      <c r="H3" s="9"/>
      <c r="I3" s="9"/>
      <c r="J3" s="9"/>
      <c r="K3" s="9"/>
      <c r="L3" s="9"/>
      <c r="M3" s="9"/>
      <c r="N3" s="9"/>
      <c r="O3" s="9"/>
      <c r="P3" s="9"/>
      <c r="Q3" s="10"/>
    </row>
    <row r="4" spans="1:19" s="12" customFormat="1" x14ac:dyDescent="0.4">
      <c r="A4" s="11"/>
      <c r="B4" s="11"/>
      <c r="C4" s="11"/>
      <c r="D4" s="11"/>
      <c r="E4" s="11"/>
      <c r="F4" s="11"/>
      <c r="G4" s="11"/>
      <c r="H4" s="11"/>
      <c r="I4" s="11"/>
      <c r="J4" s="11"/>
      <c r="K4" s="11"/>
      <c r="L4" s="11"/>
      <c r="M4" s="11"/>
      <c r="N4" s="11"/>
      <c r="O4" s="11"/>
      <c r="P4" s="11"/>
      <c r="Q4" s="11"/>
    </row>
    <row r="5" spans="1:19" ht="18" customHeight="1" x14ac:dyDescent="0.4">
      <c r="A5" s="13" t="s">
        <v>0</v>
      </c>
      <c r="B5" s="14"/>
      <c r="C5" s="14"/>
      <c r="D5" s="14"/>
      <c r="E5" s="14"/>
      <c r="F5" s="14"/>
      <c r="G5" s="14"/>
      <c r="H5" s="14"/>
      <c r="I5" s="14"/>
      <c r="J5" s="14"/>
      <c r="K5" s="14"/>
      <c r="L5" s="14"/>
      <c r="M5" s="14"/>
      <c r="N5" s="14"/>
      <c r="O5" s="14"/>
      <c r="P5" s="14"/>
      <c r="Q5" s="14"/>
      <c r="R5" s="15"/>
    </row>
    <row r="6" spans="1:19" x14ac:dyDescent="0.4">
      <c r="A6" s="16" t="s">
        <v>15</v>
      </c>
      <c r="B6" s="17"/>
      <c r="C6" s="17"/>
      <c r="D6" s="17"/>
      <c r="E6" s="17"/>
      <c r="F6" s="17"/>
      <c r="G6" s="17"/>
      <c r="H6" s="17"/>
      <c r="I6" s="17"/>
      <c r="J6" s="17"/>
      <c r="K6" s="17"/>
      <c r="L6" s="17"/>
      <c r="M6" s="17"/>
      <c r="N6" s="17"/>
      <c r="O6" s="17"/>
      <c r="P6" s="17"/>
      <c r="Q6" s="17"/>
      <c r="R6" s="18"/>
    </row>
    <row r="7" spans="1:19" x14ac:dyDescent="0.4">
      <c r="A7" s="19" t="s">
        <v>16</v>
      </c>
      <c r="B7" s="20"/>
      <c r="C7" s="20"/>
      <c r="D7" s="20"/>
      <c r="E7" s="20"/>
      <c r="F7" s="20"/>
      <c r="G7" s="20"/>
      <c r="H7" s="20"/>
      <c r="I7" s="20"/>
      <c r="J7" s="20"/>
      <c r="K7" s="20"/>
      <c r="L7" s="20"/>
      <c r="M7" s="20"/>
      <c r="N7" s="20"/>
      <c r="O7" s="20"/>
      <c r="P7" s="20"/>
      <c r="Q7" s="20"/>
      <c r="R7" s="21"/>
    </row>
    <row r="8" spans="1:19" s="12" customFormat="1" ht="17.25" customHeight="1" x14ac:dyDescent="0.4">
      <c r="B8" s="22"/>
      <c r="C8" s="22"/>
      <c r="D8" s="22"/>
      <c r="E8" s="22"/>
      <c r="F8" s="22"/>
      <c r="G8" s="22"/>
      <c r="H8" s="22"/>
      <c r="I8" s="22"/>
      <c r="J8" s="22"/>
      <c r="K8" s="22"/>
      <c r="L8" s="22"/>
      <c r="M8" s="22"/>
      <c r="N8" s="22"/>
      <c r="O8" s="22"/>
      <c r="P8" s="22"/>
      <c r="Q8" s="22"/>
      <c r="R8" s="22"/>
      <c r="S8" s="22"/>
    </row>
    <row r="9" spans="1:19" x14ac:dyDescent="0.4">
      <c r="B9" s="4" t="s">
        <v>3</v>
      </c>
      <c r="H9" s="4" t="s">
        <v>3</v>
      </c>
      <c r="N9" s="4" t="s">
        <v>3</v>
      </c>
    </row>
    <row r="10" spans="1:19" x14ac:dyDescent="0.4">
      <c r="C10" s="24" t="s">
        <v>571</v>
      </c>
      <c r="D10" s="25" t="s">
        <v>574</v>
      </c>
      <c r="E10" s="25" t="s">
        <v>6</v>
      </c>
      <c r="F10" s="29" t="s">
        <v>573</v>
      </c>
      <c r="I10" s="24" t="s">
        <v>572</v>
      </c>
      <c r="J10" s="25" t="s">
        <v>5</v>
      </c>
      <c r="K10" s="25" t="s">
        <v>570</v>
      </c>
      <c r="L10" s="29" t="s">
        <v>7</v>
      </c>
      <c r="O10" s="24" t="s">
        <v>571</v>
      </c>
      <c r="P10" s="25" t="s">
        <v>5</v>
      </c>
      <c r="Q10" s="25" t="s">
        <v>570</v>
      </c>
      <c r="R10" s="29" t="s">
        <v>7</v>
      </c>
    </row>
    <row r="11" spans="1:19" x14ac:dyDescent="0.4">
      <c r="B11" s="4" t="s">
        <v>8</v>
      </c>
      <c r="C11" s="26">
        <v>-22272</v>
      </c>
      <c r="D11" s="27">
        <v>8000</v>
      </c>
      <c r="E11" s="27">
        <v>10000</v>
      </c>
      <c r="F11" s="30">
        <v>6000</v>
      </c>
      <c r="H11" s="4" t="s">
        <v>8</v>
      </c>
      <c r="I11" s="26">
        <v>-10181</v>
      </c>
      <c r="J11" s="27">
        <v>4000</v>
      </c>
      <c r="K11" s="27">
        <v>2000</v>
      </c>
      <c r="L11" s="30">
        <v>6000</v>
      </c>
      <c r="N11" s="4" t="s">
        <v>569</v>
      </c>
      <c r="O11" s="31">
        <v>-15745.8</v>
      </c>
      <c r="P11" s="27">
        <v>6000</v>
      </c>
      <c r="Q11" s="27">
        <v>6000</v>
      </c>
      <c r="R11" s="30">
        <v>6000</v>
      </c>
    </row>
    <row r="12" spans="1:19" x14ac:dyDescent="0.4">
      <c r="B12" s="4" t="s">
        <v>1</v>
      </c>
      <c r="D12" s="28">
        <v>0.95240000000000002</v>
      </c>
      <c r="E12" s="28">
        <v>0.90700000000000003</v>
      </c>
      <c r="F12" s="28">
        <v>0.86380000000000001</v>
      </c>
      <c r="H12" s="4" t="s">
        <v>1</v>
      </c>
      <c r="J12" s="28">
        <v>0.95240000000000002</v>
      </c>
      <c r="K12" s="28">
        <v>0.90700000000000003</v>
      </c>
      <c r="L12" s="28">
        <v>0.86380000000000001</v>
      </c>
      <c r="N12" s="4" t="s">
        <v>1</v>
      </c>
      <c r="P12" s="28">
        <v>0.95240000000000002</v>
      </c>
      <c r="Q12" s="28">
        <v>0.90700000000000003</v>
      </c>
      <c r="R12" s="28">
        <v>0.86380000000000001</v>
      </c>
    </row>
    <row r="13" spans="1:19" x14ac:dyDescent="0.4">
      <c r="B13" s="4" t="s">
        <v>9</v>
      </c>
      <c r="C13" s="4">
        <f>+C11</f>
        <v>-22272</v>
      </c>
      <c r="D13" s="4">
        <f>+D11*D12</f>
        <v>7619.2</v>
      </c>
      <c r="E13" s="4">
        <f>+E11*E12</f>
        <v>9070</v>
      </c>
      <c r="F13" s="4">
        <f>+F11*F12</f>
        <v>5182.8</v>
      </c>
      <c r="H13" s="4" t="s">
        <v>9</v>
      </c>
      <c r="I13" s="4">
        <f>+I11</f>
        <v>-10181</v>
      </c>
      <c r="J13" s="4">
        <f>+J11*J12</f>
        <v>3809.6</v>
      </c>
      <c r="K13" s="4">
        <f>+K11*K12</f>
        <v>1814</v>
      </c>
      <c r="L13" s="4">
        <f>+L11*L12</f>
        <v>5182.8</v>
      </c>
      <c r="N13" s="4" t="s">
        <v>9</v>
      </c>
      <c r="O13" s="23">
        <f>+O11</f>
        <v>-15745.8</v>
      </c>
      <c r="P13" s="4">
        <f>+P11*P12</f>
        <v>5714.4000000000005</v>
      </c>
      <c r="Q13" s="4">
        <f>+Q11*Q12</f>
        <v>5442</v>
      </c>
      <c r="R13" s="4">
        <f>+R11*R12</f>
        <v>5182.8</v>
      </c>
    </row>
    <row r="14" spans="1:19" x14ac:dyDescent="0.4">
      <c r="A14" s="4" t="s">
        <v>12</v>
      </c>
      <c r="B14" s="4" t="s">
        <v>79</v>
      </c>
      <c r="C14" s="32">
        <f>+SUM(C13:F13)</f>
        <v>-399.99999999999909</v>
      </c>
      <c r="H14" s="4" t="s">
        <v>79</v>
      </c>
      <c r="I14" s="33">
        <f>+SUM(I13:L13)</f>
        <v>625.40000000000055</v>
      </c>
      <c r="N14" s="4" t="s">
        <v>568</v>
      </c>
      <c r="O14" s="33">
        <f>+SUM(O13:R13)</f>
        <v>593.40000000000236</v>
      </c>
    </row>
    <row r="16" spans="1:19" x14ac:dyDescent="0.4">
      <c r="A16" s="4" t="s">
        <v>13</v>
      </c>
      <c r="B16" s="4" t="s">
        <v>10</v>
      </c>
      <c r="C16" s="34">
        <f>+SUM(D13:F13)/-C13</f>
        <v>0.98204022988505746</v>
      </c>
      <c r="I16" s="34">
        <f>+SUM(J13:L13)/-I13</f>
        <v>1.0614281504763776</v>
      </c>
      <c r="O16" s="34">
        <f>+SUM(P13:R13)/-O13</f>
        <v>1.037686240140228</v>
      </c>
    </row>
    <row r="18" spans="1:15" x14ac:dyDescent="0.4">
      <c r="A18" s="4" t="s">
        <v>14</v>
      </c>
      <c r="B18" s="4" t="s">
        <v>11</v>
      </c>
      <c r="C18" s="35">
        <f>+IRR(C11:F11)</f>
        <v>3.9996252122203702E-2</v>
      </c>
      <c r="I18" s="35">
        <f>+IRR(I11:L11)</f>
        <v>8.0018895775004095E-2</v>
      </c>
      <c r="O18" s="35">
        <f>+IRR(O11:R11)</f>
        <v>7.0003346284783108E-2</v>
      </c>
    </row>
  </sheetData>
  <phoneticPr fontId="3"/>
  <pageMargins left="0.25" right="0.25" top="0.75" bottom="0.75" header="0.3" footer="0.3"/>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9" x14ac:dyDescent="0.4">
      <c r="A1" s="1" t="s">
        <v>302</v>
      </c>
      <c r="B1" s="2"/>
      <c r="C1" s="2"/>
      <c r="D1" s="2"/>
      <c r="E1" s="2"/>
      <c r="F1" s="2"/>
      <c r="G1" s="2"/>
      <c r="H1" s="2"/>
      <c r="I1" s="2"/>
      <c r="J1" s="2"/>
      <c r="K1" s="2"/>
      <c r="L1" s="2"/>
      <c r="M1" s="2"/>
      <c r="N1" s="2"/>
      <c r="O1" s="2"/>
      <c r="P1" s="2"/>
      <c r="Q1" s="3"/>
    </row>
    <row r="2" spans="1:19" x14ac:dyDescent="0.4">
      <c r="A2" s="5" t="s">
        <v>304</v>
      </c>
      <c r="B2" s="6"/>
      <c r="C2" s="6"/>
      <c r="D2" s="6"/>
      <c r="E2" s="6"/>
      <c r="F2" s="6"/>
      <c r="G2" s="6"/>
      <c r="H2" s="6"/>
      <c r="I2" s="6"/>
      <c r="J2" s="6"/>
      <c r="K2" s="6"/>
      <c r="L2" s="6"/>
      <c r="M2" s="6"/>
      <c r="N2" s="6"/>
      <c r="O2" s="6"/>
      <c r="P2" s="6"/>
      <c r="Q2" s="7"/>
    </row>
    <row r="3" spans="1:19" x14ac:dyDescent="0.4">
      <c r="A3" s="8" t="s">
        <v>305</v>
      </c>
      <c r="B3" s="9"/>
      <c r="C3" s="9"/>
      <c r="D3" s="9"/>
      <c r="E3" s="9"/>
      <c r="F3" s="9"/>
      <c r="G3" s="9"/>
      <c r="H3" s="9"/>
      <c r="I3" s="9"/>
      <c r="J3" s="9"/>
      <c r="K3" s="9"/>
      <c r="L3" s="9"/>
      <c r="M3" s="9"/>
      <c r="N3" s="9"/>
      <c r="O3" s="9"/>
      <c r="P3" s="9"/>
      <c r="Q3" s="10"/>
    </row>
    <row r="4" spans="1:19" s="12" customFormat="1" x14ac:dyDescent="0.4">
      <c r="A4" s="11"/>
      <c r="B4" s="11"/>
      <c r="C4" s="11"/>
      <c r="D4" s="11"/>
      <c r="E4" s="11"/>
      <c r="F4" s="11"/>
      <c r="G4" s="11"/>
      <c r="H4" s="11"/>
      <c r="I4" s="11"/>
      <c r="J4" s="11"/>
      <c r="K4" s="11"/>
      <c r="L4" s="11"/>
      <c r="M4" s="11"/>
      <c r="N4" s="11"/>
      <c r="O4" s="11"/>
      <c r="P4" s="11"/>
      <c r="Q4" s="11"/>
    </row>
    <row r="5" spans="1:19" ht="18" customHeight="1" x14ac:dyDescent="0.4">
      <c r="A5" s="13" t="s">
        <v>0</v>
      </c>
      <c r="B5" s="14"/>
      <c r="C5" s="14"/>
      <c r="D5" s="14"/>
      <c r="E5" s="14"/>
      <c r="F5" s="14"/>
      <c r="G5" s="14"/>
      <c r="H5" s="14"/>
      <c r="I5" s="14"/>
      <c r="J5" s="14"/>
      <c r="K5" s="14"/>
      <c r="L5" s="14"/>
      <c r="M5" s="14"/>
      <c r="N5" s="14"/>
      <c r="O5" s="14"/>
      <c r="P5" s="14"/>
      <c r="Q5" s="14"/>
      <c r="R5" s="15"/>
    </row>
    <row r="6" spans="1:19" x14ac:dyDescent="0.4">
      <c r="A6" s="16" t="s">
        <v>26</v>
      </c>
      <c r="B6" s="17"/>
      <c r="C6" s="17"/>
      <c r="D6" s="17"/>
      <c r="E6" s="17"/>
      <c r="F6" s="17"/>
      <c r="G6" s="17"/>
      <c r="H6" s="17"/>
      <c r="I6" s="17"/>
      <c r="J6" s="17"/>
      <c r="K6" s="17"/>
      <c r="L6" s="17"/>
      <c r="M6" s="17"/>
      <c r="N6" s="17"/>
      <c r="O6" s="17"/>
      <c r="P6" s="17"/>
      <c r="Q6" s="17"/>
      <c r="R6" s="18"/>
    </row>
    <row r="7" spans="1:19" x14ac:dyDescent="0.4">
      <c r="A7" s="19" t="s">
        <v>27</v>
      </c>
      <c r="B7" s="20"/>
      <c r="C7" s="20"/>
      <c r="D7" s="20"/>
      <c r="E7" s="20"/>
      <c r="F7" s="20"/>
      <c r="G7" s="20"/>
      <c r="H7" s="20"/>
      <c r="I7" s="20"/>
      <c r="J7" s="20"/>
      <c r="K7" s="20"/>
      <c r="L7" s="20"/>
      <c r="M7" s="20"/>
      <c r="N7" s="20"/>
      <c r="O7" s="20"/>
      <c r="P7" s="20"/>
      <c r="Q7" s="20"/>
      <c r="R7" s="21"/>
    </row>
    <row r="8" spans="1:19" s="12" customFormat="1" ht="17.25" customHeight="1" x14ac:dyDescent="0.4">
      <c r="B8" s="22"/>
      <c r="C8" s="22"/>
      <c r="D8" s="22"/>
      <c r="E8" s="22"/>
      <c r="F8" s="22"/>
      <c r="G8" s="22"/>
      <c r="H8" s="22"/>
      <c r="I8" s="22"/>
      <c r="J8" s="22"/>
      <c r="K8" s="22"/>
      <c r="L8" s="22"/>
      <c r="M8" s="22"/>
      <c r="N8" s="22"/>
      <c r="O8" s="22"/>
      <c r="P8" s="22"/>
      <c r="Q8" s="22"/>
      <c r="R8" s="22"/>
      <c r="S8" s="22"/>
    </row>
    <row r="10" spans="1:19" x14ac:dyDescent="0.4">
      <c r="C10" s="24" t="s">
        <v>4</v>
      </c>
      <c r="D10" s="25" t="s">
        <v>5</v>
      </c>
      <c r="E10" s="25" t="s">
        <v>6</v>
      </c>
      <c r="F10" s="29" t="s">
        <v>7</v>
      </c>
      <c r="G10" s="29" t="s">
        <v>17</v>
      </c>
      <c r="H10" s="29" t="s">
        <v>18</v>
      </c>
    </row>
    <row r="11" spans="1:19" x14ac:dyDescent="0.4">
      <c r="B11" s="4" t="s">
        <v>8</v>
      </c>
      <c r="C11" s="26">
        <v>-10000000</v>
      </c>
      <c r="D11" s="27">
        <v>2000000</v>
      </c>
      <c r="E11" s="27">
        <v>2400000</v>
      </c>
      <c r="F11" s="30">
        <v>2800000</v>
      </c>
      <c r="G11" s="30">
        <v>3300000</v>
      </c>
      <c r="H11" s="30">
        <f>+SUM(H12:H13)</f>
        <v>2500000</v>
      </c>
    </row>
    <row r="12" spans="1:19" x14ac:dyDescent="0.4">
      <c r="C12" s="36"/>
      <c r="D12" s="36"/>
      <c r="E12" s="36"/>
      <c r="F12" s="36"/>
      <c r="G12" s="36"/>
      <c r="H12" s="36">
        <v>2100000</v>
      </c>
      <c r="I12" s="4" t="s">
        <v>20</v>
      </c>
    </row>
    <row r="13" spans="1:19" x14ac:dyDescent="0.4">
      <c r="C13" s="36"/>
      <c r="D13" s="36"/>
      <c r="E13" s="36"/>
      <c r="F13" s="36"/>
      <c r="G13" s="36"/>
      <c r="H13" s="36">
        <v>400000</v>
      </c>
      <c r="I13" s="4" t="s">
        <v>21</v>
      </c>
    </row>
    <row r="14" spans="1:19" x14ac:dyDescent="0.4">
      <c r="B14" s="4" t="s">
        <v>1</v>
      </c>
      <c r="D14" s="28">
        <v>0.92589999999999995</v>
      </c>
      <c r="E14" s="28">
        <v>0.85729999999999995</v>
      </c>
      <c r="F14" s="28">
        <v>0.79379999999999995</v>
      </c>
      <c r="G14" s="28">
        <v>0.73499999999999999</v>
      </c>
      <c r="H14" s="28">
        <v>0.68059999999999998</v>
      </c>
    </row>
    <row r="15" spans="1:19" x14ac:dyDescent="0.4">
      <c r="B15" s="4" t="s">
        <v>9</v>
      </c>
      <c r="C15" s="4">
        <f>+C11</f>
        <v>-10000000</v>
      </c>
      <c r="D15" s="4">
        <f>+D11*D14</f>
        <v>1851800</v>
      </c>
      <c r="E15" s="4">
        <f>+E11*E14</f>
        <v>2057519.9999999998</v>
      </c>
      <c r="F15" s="4">
        <f>+F11*F14</f>
        <v>2222640</v>
      </c>
      <c r="G15" s="4">
        <f>+G11*G14</f>
        <v>2425500</v>
      </c>
      <c r="H15" s="4">
        <f>+H11*H14</f>
        <v>1701500</v>
      </c>
    </row>
    <row r="17" spans="1:4" x14ac:dyDescent="0.4">
      <c r="A17" s="4" t="s">
        <v>12</v>
      </c>
      <c r="B17" s="4" t="s">
        <v>79</v>
      </c>
      <c r="C17" s="32">
        <f>+SUM(C15:H15)</f>
        <v>258960</v>
      </c>
      <c r="D17" s="4" t="s">
        <v>22</v>
      </c>
    </row>
    <row r="19" spans="1:4" x14ac:dyDescent="0.4">
      <c r="A19" s="4" t="s">
        <v>13</v>
      </c>
      <c r="B19" s="4" t="s">
        <v>19</v>
      </c>
      <c r="C19" s="37">
        <f>+IRR(C11:H11)</f>
        <v>8.9257359687993754E-2</v>
      </c>
      <c r="D19" s="4" t="s">
        <v>23</v>
      </c>
    </row>
    <row r="20" spans="1:4" x14ac:dyDescent="0.4">
      <c r="D20" s="4" t="s">
        <v>24</v>
      </c>
    </row>
    <row r="21" spans="1:4" x14ac:dyDescent="0.4">
      <c r="D21" s="4" t="s">
        <v>25</v>
      </c>
    </row>
  </sheetData>
  <phoneticPr fontId="3"/>
  <pageMargins left="0.25" right="0.25" top="0.75" bottom="0.75"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9" x14ac:dyDescent="0.4">
      <c r="A1" s="1" t="s">
        <v>302</v>
      </c>
      <c r="B1" s="2"/>
      <c r="C1" s="2"/>
      <c r="D1" s="2"/>
      <c r="E1" s="2"/>
      <c r="F1" s="2"/>
      <c r="G1" s="2"/>
      <c r="H1" s="2"/>
      <c r="I1" s="2"/>
      <c r="J1" s="2"/>
      <c r="K1" s="2"/>
      <c r="L1" s="2"/>
      <c r="M1" s="2"/>
      <c r="N1" s="2"/>
      <c r="O1" s="2"/>
      <c r="P1" s="2"/>
      <c r="Q1" s="3"/>
    </row>
    <row r="2" spans="1:19" x14ac:dyDescent="0.4">
      <c r="A2" s="5" t="s">
        <v>304</v>
      </c>
      <c r="B2" s="6"/>
      <c r="C2" s="6"/>
      <c r="D2" s="6"/>
      <c r="E2" s="6"/>
      <c r="F2" s="6"/>
      <c r="G2" s="6"/>
      <c r="H2" s="6"/>
      <c r="I2" s="6"/>
      <c r="J2" s="6"/>
      <c r="K2" s="6"/>
      <c r="L2" s="6"/>
      <c r="M2" s="6"/>
      <c r="N2" s="6"/>
      <c r="O2" s="6"/>
      <c r="P2" s="6"/>
      <c r="Q2" s="7"/>
    </row>
    <row r="3" spans="1:19" x14ac:dyDescent="0.4">
      <c r="A3" s="8" t="s">
        <v>306</v>
      </c>
      <c r="B3" s="9"/>
      <c r="C3" s="9"/>
      <c r="D3" s="9"/>
      <c r="E3" s="9"/>
      <c r="F3" s="9"/>
      <c r="G3" s="9"/>
      <c r="H3" s="9"/>
      <c r="I3" s="9"/>
      <c r="J3" s="9"/>
      <c r="K3" s="9"/>
      <c r="L3" s="9"/>
      <c r="M3" s="9"/>
      <c r="N3" s="9"/>
      <c r="O3" s="9"/>
      <c r="P3" s="9"/>
      <c r="Q3" s="10"/>
    </row>
    <row r="4" spans="1:19" s="12" customFormat="1" x14ac:dyDescent="0.4">
      <c r="A4" s="11"/>
      <c r="B4" s="11"/>
      <c r="C4" s="11"/>
      <c r="D4" s="11"/>
      <c r="E4" s="11"/>
      <c r="F4" s="11"/>
      <c r="G4" s="11"/>
      <c r="H4" s="11"/>
      <c r="I4" s="11"/>
      <c r="J4" s="11"/>
      <c r="K4" s="11"/>
      <c r="L4" s="11"/>
      <c r="M4" s="11"/>
      <c r="N4" s="11"/>
      <c r="O4" s="11"/>
      <c r="P4" s="11"/>
      <c r="Q4" s="11"/>
    </row>
    <row r="5" spans="1:19" ht="18" customHeight="1" x14ac:dyDescent="0.4">
      <c r="A5" s="13" t="s">
        <v>0</v>
      </c>
      <c r="B5" s="14"/>
      <c r="C5" s="14"/>
      <c r="D5" s="14"/>
      <c r="E5" s="14"/>
      <c r="F5" s="14"/>
      <c r="G5" s="14"/>
      <c r="H5" s="14"/>
      <c r="I5" s="14"/>
      <c r="J5" s="14"/>
      <c r="K5" s="14"/>
      <c r="L5" s="14"/>
      <c r="M5" s="14"/>
      <c r="N5" s="14"/>
      <c r="O5" s="14"/>
      <c r="P5" s="14"/>
      <c r="Q5" s="14"/>
      <c r="R5" s="15"/>
    </row>
    <row r="6" spans="1:19" x14ac:dyDescent="0.4">
      <c r="A6" s="16" t="s">
        <v>43</v>
      </c>
      <c r="B6" s="17"/>
      <c r="C6" s="17"/>
      <c r="D6" s="17"/>
      <c r="E6" s="17"/>
      <c r="F6" s="17"/>
      <c r="G6" s="17"/>
      <c r="H6" s="17"/>
      <c r="I6" s="17"/>
      <c r="J6" s="17"/>
      <c r="K6" s="17"/>
      <c r="L6" s="17"/>
      <c r="M6" s="17"/>
      <c r="N6" s="17"/>
      <c r="O6" s="17"/>
      <c r="P6" s="17"/>
      <c r="Q6" s="17"/>
      <c r="R6" s="18"/>
    </row>
    <row r="7" spans="1:19" x14ac:dyDescent="0.4">
      <c r="A7" s="19" t="s">
        <v>44</v>
      </c>
      <c r="B7" s="20"/>
      <c r="C7" s="20"/>
      <c r="D7" s="20"/>
      <c r="E7" s="20"/>
      <c r="F7" s="20"/>
      <c r="G7" s="20"/>
      <c r="H7" s="20"/>
      <c r="I7" s="20"/>
      <c r="J7" s="20"/>
      <c r="K7" s="20"/>
      <c r="L7" s="20"/>
      <c r="M7" s="20"/>
      <c r="N7" s="20"/>
      <c r="O7" s="20"/>
      <c r="P7" s="20"/>
      <c r="Q7" s="20"/>
      <c r="R7" s="21"/>
    </row>
    <row r="8" spans="1:19" s="12" customFormat="1" ht="17.25" customHeight="1" x14ac:dyDescent="0.4">
      <c r="B8" s="22"/>
      <c r="C8" s="22"/>
      <c r="D8" s="22"/>
      <c r="E8" s="22"/>
      <c r="F8" s="22"/>
      <c r="G8" s="22"/>
      <c r="H8" s="22"/>
      <c r="I8" s="22"/>
      <c r="J8" s="22"/>
      <c r="K8" s="22"/>
      <c r="L8" s="22"/>
      <c r="M8" s="22"/>
      <c r="N8" s="22"/>
      <c r="O8" s="22"/>
      <c r="P8" s="22"/>
      <c r="Q8" s="22"/>
      <c r="R8" s="22"/>
      <c r="S8" s="22"/>
    </row>
    <row r="9" spans="1:19" x14ac:dyDescent="0.4">
      <c r="J9" s="38" t="s">
        <v>28</v>
      </c>
    </row>
    <row r="10" spans="1:19" x14ac:dyDescent="0.4">
      <c r="C10" s="24" t="s">
        <v>4</v>
      </c>
      <c r="D10" s="25" t="s">
        <v>5</v>
      </c>
      <c r="E10" s="25" t="s">
        <v>6</v>
      </c>
      <c r="F10" s="29" t="s">
        <v>7</v>
      </c>
      <c r="G10" s="29" t="s">
        <v>17</v>
      </c>
      <c r="H10" s="29" t="s">
        <v>18</v>
      </c>
      <c r="J10" s="4" t="s">
        <v>29</v>
      </c>
      <c r="K10" s="4">
        <v>3000</v>
      </c>
    </row>
    <row r="11" spans="1:19" x14ac:dyDescent="0.4">
      <c r="B11" s="4" t="s">
        <v>8</v>
      </c>
      <c r="C11" s="26">
        <v>-3000</v>
      </c>
      <c r="D11" s="44">
        <f>+(C17-C11-H12*H14)/D13</f>
        <v>742.27187590682456</v>
      </c>
      <c r="E11" s="27" t="s">
        <v>41</v>
      </c>
      <c r="F11" s="30" t="s">
        <v>41</v>
      </c>
      <c r="G11" s="30" t="s">
        <v>41</v>
      </c>
      <c r="H11" s="30" t="s">
        <v>41</v>
      </c>
      <c r="I11" s="4" t="s">
        <v>42</v>
      </c>
      <c r="J11" s="4" t="s">
        <v>30</v>
      </c>
      <c r="K11" s="4">
        <v>300</v>
      </c>
    </row>
    <row r="12" spans="1:19" x14ac:dyDescent="0.4">
      <c r="C12" s="36"/>
      <c r="D12" s="36"/>
      <c r="E12" s="36"/>
      <c r="F12" s="36"/>
      <c r="G12" s="36"/>
      <c r="H12" s="36">
        <v>300</v>
      </c>
      <c r="I12" s="4" t="s">
        <v>21</v>
      </c>
      <c r="J12" s="4" t="s">
        <v>31</v>
      </c>
      <c r="K12" s="4">
        <v>5</v>
      </c>
    </row>
    <row r="13" spans="1:19" x14ac:dyDescent="0.4">
      <c r="C13" s="36"/>
      <c r="D13" s="248">
        <f>+SUM(D14:H14)</f>
        <v>3.7907000000000002</v>
      </c>
      <c r="E13" s="249"/>
      <c r="F13" s="249"/>
      <c r="G13" s="249"/>
      <c r="H13" s="250"/>
      <c r="J13" s="4" t="s">
        <v>32</v>
      </c>
      <c r="K13" s="4">
        <f>+(K10-K11)/K12</f>
        <v>540</v>
      </c>
    </row>
    <row r="14" spans="1:19" x14ac:dyDescent="0.4">
      <c r="B14" s="4" t="s">
        <v>1</v>
      </c>
      <c r="D14" s="28">
        <v>0.90910000000000002</v>
      </c>
      <c r="E14" s="28">
        <v>0.82640000000000002</v>
      </c>
      <c r="F14" s="28">
        <v>0.75129999999999997</v>
      </c>
      <c r="G14" s="28">
        <v>0.68300000000000005</v>
      </c>
      <c r="H14" s="28">
        <v>0.62090000000000001</v>
      </c>
    </row>
    <row r="15" spans="1:19" x14ac:dyDescent="0.4">
      <c r="B15" s="4" t="s">
        <v>9</v>
      </c>
      <c r="C15" s="4">
        <f>+C11</f>
        <v>-3000</v>
      </c>
    </row>
    <row r="16" spans="1:19" x14ac:dyDescent="0.4">
      <c r="J16" s="4" t="s">
        <v>33</v>
      </c>
    </row>
    <row r="17" spans="2:13" x14ac:dyDescent="0.4">
      <c r="B17" s="4" t="s">
        <v>40</v>
      </c>
      <c r="C17" s="32">
        <v>0</v>
      </c>
      <c r="D17" s="4" t="s">
        <v>39</v>
      </c>
    </row>
    <row r="18" spans="2:13" x14ac:dyDescent="0.4">
      <c r="J18" s="4" t="s">
        <v>34</v>
      </c>
      <c r="L18" s="4" t="s">
        <v>8</v>
      </c>
    </row>
    <row r="19" spans="2:13" x14ac:dyDescent="0.4">
      <c r="J19" s="30" t="s">
        <v>35</v>
      </c>
      <c r="K19" s="39">
        <v>75</v>
      </c>
      <c r="L19" s="30" t="s">
        <v>36</v>
      </c>
      <c r="M19" s="45">
        <f>+SUM(K19,K21,K23)</f>
        <v>817.27187590682456</v>
      </c>
    </row>
    <row r="20" spans="2:13" x14ac:dyDescent="0.4">
      <c r="J20" s="40"/>
      <c r="K20" s="36"/>
      <c r="L20" s="40"/>
      <c r="M20" s="41"/>
    </row>
    <row r="21" spans="2:13" x14ac:dyDescent="0.4">
      <c r="J21" s="30" t="s">
        <v>37</v>
      </c>
      <c r="K21" s="26">
        <f>+K13</f>
        <v>540</v>
      </c>
      <c r="L21" s="40"/>
      <c r="M21" s="41"/>
    </row>
    <row r="22" spans="2:13" x14ac:dyDescent="0.4">
      <c r="J22" s="29"/>
      <c r="K22" s="24"/>
      <c r="L22" s="40"/>
      <c r="M22" s="41"/>
    </row>
    <row r="23" spans="2:13" x14ac:dyDescent="0.4">
      <c r="J23" s="40" t="s">
        <v>38</v>
      </c>
      <c r="K23" s="43">
        <f>+K25-K21</f>
        <v>202.27187590682456</v>
      </c>
      <c r="L23" s="40"/>
      <c r="M23" s="41"/>
    </row>
    <row r="24" spans="2:13" x14ac:dyDescent="0.4">
      <c r="J24" s="29"/>
      <c r="K24" s="42"/>
      <c r="L24" s="29"/>
      <c r="M24" s="24"/>
    </row>
    <row r="25" spans="2:13" x14ac:dyDescent="0.4">
      <c r="K25" s="4">
        <f>+D11</f>
        <v>742.27187590682456</v>
      </c>
    </row>
  </sheetData>
  <mergeCells count="1">
    <mergeCell ref="D13:H13"/>
  </mergeCells>
  <phoneticPr fontId="3"/>
  <pageMargins left="0.25" right="0.25" top="0.75" bottom="0.75" header="0.3" footer="0.3"/>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9" x14ac:dyDescent="0.4">
      <c r="A1" s="1" t="s">
        <v>302</v>
      </c>
      <c r="B1" s="2"/>
      <c r="C1" s="2"/>
      <c r="D1" s="2"/>
      <c r="E1" s="2"/>
      <c r="F1" s="2"/>
      <c r="G1" s="2"/>
      <c r="H1" s="2"/>
      <c r="I1" s="2"/>
      <c r="J1" s="2"/>
      <c r="K1" s="2"/>
      <c r="L1" s="2"/>
      <c r="M1" s="2"/>
      <c r="N1" s="2"/>
      <c r="O1" s="2"/>
      <c r="P1" s="2"/>
      <c r="Q1" s="3"/>
    </row>
    <row r="2" spans="1:19" x14ac:dyDescent="0.4">
      <c r="A2" s="5" t="s">
        <v>309</v>
      </c>
      <c r="B2" s="6"/>
      <c r="C2" s="6"/>
      <c r="D2" s="6"/>
      <c r="E2" s="6"/>
      <c r="F2" s="6"/>
      <c r="G2" s="6"/>
      <c r="H2" s="6"/>
      <c r="I2" s="6"/>
      <c r="J2" s="6"/>
      <c r="K2" s="6"/>
      <c r="L2" s="6"/>
      <c r="M2" s="6"/>
      <c r="N2" s="6"/>
      <c r="O2" s="6"/>
      <c r="P2" s="6"/>
      <c r="Q2" s="7"/>
    </row>
    <row r="3" spans="1:19" x14ac:dyDescent="0.4">
      <c r="A3" s="8" t="s">
        <v>307</v>
      </c>
      <c r="B3" s="9"/>
      <c r="C3" s="9"/>
      <c r="D3" s="9"/>
      <c r="E3" s="9"/>
      <c r="F3" s="9"/>
      <c r="G3" s="9"/>
      <c r="H3" s="9"/>
      <c r="I3" s="9"/>
      <c r="J3" s="9"/>
      <c r="K3" s="9"/>
      <c r="L3" s="9"/>
      <c r="M3" s="9"/>
      <c r="N3" s="9"/>
      <c r="O3" s="9"/>
      <c r="P3" s="9"/>
      <c r="Q3" s="10"/>
    </row>
    <row r="4" spans="1:19" s="12" customFormat="1" x14ac:dyDescent="0.4">
      <c r="A4" s="11"/>
      <c r="B4" s="11"/>
      <c r="C4" s="11"/>
      <c r="D4" s="11"/>
      <c r="E4" s="11"/>
      <c r="F4" s="11"/>
      <c r="G4" s="11"/>
      <c r="H4" s="11"/>
      <c r="I4" s="11"/>
      <c r="J4" s="11"/>
      <c r="K4" s="11"/>
      <c r="L4" s="11"/>
      <c r="M4" s="11"/>
      <c r="N4" s="11"/>
      <c r="O4" s="11"/>
      <c r="P4" s="11"/>
      <c r="Q4" s="11"/>
    </row>
    <row r="5" spans="1:19" ht="18" customHeight="1" x14ac:dyDescent="0.4">
      <c r="A5" s="13" t="s">
        <v>0</v>
      </c>
      <c r="B5" s="14"/>
      <c r="C5" s="14"/>
      <c r="D5" s="14"/>
      <c r="E5" s="14"/>
      <c r="F5" s="14"/>
      <c r="G5" s="14"/>
      <c r="H5" s="14"/>
      <c r="I5" s="14"/>
      <c r="J5" s="14"/>
      <c r="K5" s="14"/>
      <c r="L5" s="14"/>
      <c r="M5" s="14"/>
      <c r="N5" s="14"/>
      <c r="O5" s="14"/>
      <c r="P5" s="14"/>
      <c r="Q5" s="14"/>
      <c r="R5" s="15"/>
    </row>
    <row r="6" spans="1:19" x14ac:dyDescent="0.4">
      <c r="A6" s="16" t="s">
        <v>47</v>
      </c>
      <c r="B6" s="17"/>
      <c r="C6" s="17"/>
      <c r="D6" s="17"/>
      <c r="E6" s="17"/>
      <c r="F6" s="17"/>
      <c r="G6" s="17"/>
      <c r="H6" s="17"/>
      <c r="I6" s="17"/>
      <c r="J6" s="17"/>
      <c r="K6" s="17"/>
      <c r="L6" s="17"/>
      <c r="M6" s="17"/>
      <c r="N6" s="17"/>
      <c r="O6" s="17"/>
      <c r="P6" s="17"/>
      <c r="Q6" s="17"/>
      <c r="R6" s="18"/>
    </row>
    <row r="7" spans="1:19" x14ac:dyDescent="0.4">
      <c r="A7" s="19" t="s">
        <v>49</v>
      </c>
      <c r="B7" s="20"/>
      <c r="C7" s="20"/>
      <c r="D7" s="20"/>
      <c r="E7" s="20"/>
      <c r="F7" s="20"/>
      <c r="G7" s="20"/>
      <c r="H7" s="20"/>
      <c r="I7" s="20"/>
      <c r="J7" s="20"/>
      <c r="K7" s="20"/>
      <c r="L7" s="20"/>
      <c r="M7" s="20"/>
      <c r="N7" s="20"/>
      <c r="O7" s="20"/>
      <c r="P7" s="20"/>
      <c r="Q7" s="20"/>
      <c r="R7" s="21"/>
    </row>
    <row r="8" spans="1:19" s="12" customFormat="1" ht="17.25" customHeight="1" x14ac:dyDescent="0.4">
      <c r="B8" s="22"/>
      <c r="C8" s="22"/>
      <c r="D8" s="22"/>
      <c r="E8" s="22"/>
      <c r="F8" s="22"/>
      <c r="G8" s="22"/>
      <c r="H8" s="22"/>
      <c r="I8" s="22"/>
      <c r="J8" s="22"/>
      <c r="K8" s="22"/>
      <c r="L8" s="22"/>
      <c r="M8" s="22"/>
      <c r="N8" s="22"/>
      <c r="O8" s="22"/>
      <c r="P8" s="22"/>
      <c r="Q8" s="22"/>
      <c r="R8" s="22"/>
      <c r="S8" s="22"/>
    </row>
    <row r="9" spans="1:19" x14ac:dyDescent="0.4">
      <c r="B9" s="4" t="s">
        <v>3</v>
      </c>
      <c r="H9" s="4" t="s">
        <v>3</v>
      </c>
      <c r="N9" s="4" t="s">
        <v>3</v>
      </c>
    </row>
    <row r="10" spans="1:19" x14ac:dyDescent="0.4">
      <c r="C10" s="24" t="s">
        <v>579</v>
      </c>
      <c r="D10" s="25" t="s">
        <v>578</v>
      </c>
      <c r="E10" s="25" t="s">
        <v>6</v>
      </c>
      <c r="F10" s="29" t="s">
        <v>576</v>
      </c>
      <c r="I10" s="24" t="s">
        <v>4</v>
      </c>
      <c r="J10" s="25" t="s">
        <v>578</v>
      </c>
      <c r="K10" s="25" t="s">
        <v>577</v>
      </c>
      <c r="L10" s="29" t="s">
        <v>576</v>
      </c>
      <c r="O10" s="24" t="s">
        <v>579</v>
      </c>
      <c r="P10" s="25" t="s">
        <v>578</v>
      </c>
      <c r="Q10" s="25" t="s">
        <v>577</v>
      </c>
      <c r="R10" s="29" t="s">
        <v>576</v>
      </c>
    </row>
    <row r="11" spans="1:19" x14ac:dyDescent="0.4">
      <c r="B11" s="4" t="s">
        <v>575</v>
      </c>
      <c r="C11" s="26">
        <v>-21600</v>
      </c>
      <c r="D11" s="27">
        <v>8000</v>
      </c>
      <c r="E11" s="27">
        <v>10000</v>
      </c>
      <c r="F11" s="30">
        <v>6000</v>
      </c>
      <c r="H11" s="4" t="s">
        <v>575</v>
      </c>
      <c r="I11" s="26">
        <v>-10200</v>
      </c>
      <c r="J11" s="27">
        <v>4000</v>
      </c>
      <c r="K11" s="27">
        <v>2000</v>
      </c>
      <c r="L11" s="30">
        <v>6000</v>
      </c>
      <c r="N11" s="4" t="s">
        <v>575</v>
      </c>
      <c r="O11" s="31">
        <v>-15600</v>
      </c>
      <c r="P11" s="27">
        <v>6000</v>
      </c>
      <c r="Q11" s="27">
        <v>6000</v>
      </c>
      <c r="R11" s="30">
        <v>6000</v>
      </c>
    </row>
    <row r="13" spans="1:19" x14ac:dyDescent="0.4">
      <c r="A13" s="4" t="s">
        <v>12</v>
      </c>
      <c r="B13" s="4" t="s">
        <v>45</v>
      </c>
      <c r="C13" s="34">
        <f>-C11/AVERAGE(D11:F11)</f>
        <v>2.7</v>
      </c>
      <c r="D13" s="4" t="s">
        <v>46</v>
      </c>
      <c r="I13" s="34">
        <f>-I11/AVERAGE(J11:L11)</f>
        <v>2.5499999999999998</v>
      </c>
      <c r="J13" s="4" t="s">
        <v>46</v>
      </c>
      <c r="O13" s="34">
        <f>-O11/AVERAGE(P11:R11)</f>
        <v>2.6</v>
      </c>
      <c r="P13" s="4" t="s">
        <v>46</v>
      </c>
    </row>
    <row r="15" spans="1:19" x14ac:dyDescent="0.4">
      <c r="A15" s="4" t="s">
        <v>13</v>
      </c>
      <c r="B15" s="4" t="s">
        <v>48</v>
      </c>
    </row>
    <row r="16" spans="1:19" x14ac:dyDescent="0.4">
      <c r="C16" s="37">
        <f>-SUM(C11:F11)/3/C11</f>
        <v>3.7037037037037035E-2</v>
      </c>
      <c r="I16" s="37">
        <f>-SUM(I11:L11)/3/I11</f>
        <v>5.8823529411764705E-2</v>
      </c>
      <c r="O16" s="37">
        <f>-SUM(O11:R11)/3/O11</f>
        <v>5.128205128205128E-2</v>
      </c>
    </row>
  </sheetData>
  <phoneticPr fontId="3"/>
  <pageMargins left="0.25" right="0.25"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9" x14ac:dyDescent="0.4">
      <c r="A1" s="1" t="s">
        <v>302</v>
      </c>
      <c r="B1" s="2"/>
      <c r="C1" s="2"/>
      <c r="D1" s="2"/>
      <c r="E1" s="2"/>
      <c r="F1" s="2"/>
      <c r="G1" s="2"/>
      <c r="H1" s="2"/>
      <c r="I1" s="2"/>
      <c r="J1" s="2"/>
      <c r="K1" s="2"/>
      <c r="L1" s="2"/>
      <c r="M1" s="2"/>
      <c r="N1" s="2"/>
      <c r="O1" s="2"/>
      <c r="P1" s="2"/>
      <c r="Q1" s="3"/>
    </row>
    <row r="2" spans="1:19" x14ac:dyDescent="0.4">
      <c r="A2" s="5" t="s">
        <v>310</v>
      </c>
      <c r="B2" s="6"/>
      <c r="C2" s="6"/>
      <c r="D2" s="6"/>
      <c r="E2" s="6"/>
      <c r="F2" s="6"/>
      <c r="G2" s="6"/>
      <c r="H2" s="6"/>
      <c r="I2" s="6"/>
      <c r="J2" s="6"/>
      <c r="K2" s="6"/>
      <c r="L2" s="6"/>
      <c r="M2" s="6"/>
      <c r="N2" s="6"/>
      <c r="O2" s="6"/>
      <c r="P2" s="6"/>
      <c r="Q2" s="7"/>
    </row>
    <row r="3" spans="1:19" x14ac:dyDescent="0.4">
      <c r="A3" s="8" t="s">
        <v>308</v>
      </c>
      <c r="B3" s="9"/>
      <c r="C3" s="9"/>
      <c r="D3" s="9"/>
      <c r="E3" s="9"/>
      <c r="F3" s="9"/>
      <c r="G3" s="9"/>
      <c r="H3" s="9"/>
      <c r="I3" s="9"/>
      <c r="J3" s="9"/>
      <c r="K3" s="9"/>
      <c r="L3" s="9"/>
      <c r="M3" s="9"/>
      <c r="N3" s="9"/>
      <c r="O3" s="9"/>
      <c r="P3" s="9"/>
      <c r="Q3" s="10"/>
    </row>
    <row r="4" spans="1:19" s="12" customFormat="1" x14ac:dyDescent="0.4">
      <c r="A4" s="11"/>
      <c r="B4" s="11"/>
      <c r="C4" s="11"/>
      <c r="D4" s="11"/>
      <c r="E4" s="11"/>
      <c r="F4" s="11"/>
      <c r="G4" s="11"/>
      <c r="H4" s="11"/>
      <c r="I4" s="11"/>
      <c r="J4" s="11"/>
      <c r="K4" s="11"/>
      <c r="L4" s="11"/>
      <c r="M4" s="11"/>
      <c r="N4" s="11"/>
      <c r="O4" s="11"/>
      <c r="P4" s="11"/>
      <c r="Q4" s="11"/>
    </row>
    <row r="5" spans="1:19" ht="18" customHeight="1" x14ac:dyDescent="0.4">
      <c r="A5" s="13" t="s">
        <v>0</v>
      </c>
      <c r="B5" s="14"/>
      <c r="C5" s="14"/>
      <c r="D5" s="14"/>
      <c r="E5" s="14"/>
      <c r="F5" s="14"/>
      <c r="G5" s="14"/>
      <c r="H5" s="14"/>
      <c r="I5" s="14"/>
      <c r="J5" s="14"/>
      <c r="K5" s="14"/>
      <c r="L5" s="14"/>
      <c r="M5" s="14"/>
      <c r="N5" s="14"/>
      <c r="O5" s="14"/>
      <c r="P5" s="14"/>
      <c r="Q5" s="14"/>
      <c r="R5" s="15"/>
    </row>
    <row r="6" spans="1:19" x14ac:dyDescent="0.4">
      <c r="A6" s="16" t="s">
        <v>100</v>
      </c>
      <c r="B6" s="17"/>
      <c r="C6" s="17"/>
      <c r="D6" s="17"/>
      <c r="E6" s="17"/>
      <c r="F6" s="17"/>
      <c r="G6" s="17"/>
      <c r="H6" s="17"/>
      <c r="I6" s="17"/>
      <c r="J6" s="17"/>
      <c r="K6" s="17"/>
      <c r="L6" s="17"/>
      <c r="M6" s="17"/>
      <c r="N6" s="17"/>
      <c r="O6" s="17"/>
      <c r="P6" s="17"/>
      <c r="Q6" s="17"/>
      <c r="R6" s="18"/>
    </row>
    <row r="7" spans="1:19" x14ac:dyDescent="0.4">
      <c r="A7" s="19" t="s">
        <v>101</v>
      </c>
      <c r="B7" s="20"/>
      <c r="C7" s="20"/>
      <c r="D7" s="20"/>
      <c r="E7" s="20"/>
      <c r="F7" s="20"/>
      <c r="G7" s="20"/>
      <c r="H7" s="20"/>
      <c r="I7" s="46"/>
      <c r="J7" s="20"/>
      <c r="K7" s="20"/>
      <c r="L7" s="20"/>
      <c r="M7" s="20"/>
      <c r="N7" s="20"/>
      <c r="O7" s="20"/>
      <c r="P7" s="20"/>
      <c r="Q7" s="20"/>
      <c r="R7" s="21"/>
    </row>
    <row r="8" spans="1:19" s="12" customFormat="1" ht="17.25" customHeight="1" x14ac:dyDescent="0.4">
      <c r="B8" s="22"/>
      <c r="C8" s="22"/>
      <c r="D8" s="22"/>
      <c r="E8" s="22"/>
      <c r="F8" s="22"/>
      <c r="G8" s="22"/>
      <c r="H8" s="22"/>
      <c r="I8" s="22"/>
      <c r="J8" s="22"/>
      <c r="K8" s="22"/>
      <c r="L8" s="22"/>
      <c r="M8" s="22"/>
      <c r="N8" s="22" t="s">
        <v>82</v>
      </c>
      <c r="O8" s="22"/>
      <c r="P8" s="22"/>
      <c r="Q8" s="22"/>
      <c r="R8" s="22"/>
      <c r="S8" s="22"/>
    </row>
    <row r="9" spans="1:19" x14ac:dyDescent="0.4">
      <c r="J9" s="38" t="s">
        <v>28</v>
      </c>
      <c r="M9" s="4" t="s">
        <v>80</v>
      </c>
      <c r="N9" s="4" t="s">
        <v>81</v>
      </c>
      <c r="P9" s="4" t="s">
        <v>57</v>
      </c>
    </row>
    <row r="10" spans="1:19" s="12" customFormat="1" x14ac:dyDescent="0.4">
      <c r="C10" s="56" t="s">
        <v>59</v>
      </c>
      <c r="D10" s="57" t="s">
        <v>60</v>
      </c>
      <c r="E10" s="57" t="s">
        <v>61</v>
      </c>
      <c r="F10" s="58" t="s">
        <v>62</v>
      </c>
      <c r="G10" s="58" t="s">
        <v>63</v>
      </c>
      <c r="H10" s="58" t="s">
        <v>64</v>
      </c>
      <c r="L10" s="12" t="s">
        <v>69</v>
      </c>
      <c r="M10" s="12" t="s">
        <v>51</v>
      </c>
      <c r="N10" s="12" t="s">
        <v>52</v>
      </c>
      <c r="P10" s="12" t="s">
        <v>58</v>
      </c>
    </row>
    <row r="11" spans="1:19" s="12" customFormat="1" x14ac:dyDescent="0.4">
      <c r="B11" s="12" t="s">
        <v>78</v>
      </c>
      <c r="C11" s="59">
        <f>-SUM(L11:N11)</f>
        <v>-7000</v>
      </c>
      <c r="D11" s="66">
        <f>+G33</f>
        <v>1440</v>
      </c>
      <c r="E11" s="60">
        <f t="shared" ref="E11:H12" si="0">+D11</f>
        <v>1440</v>
      </c>
      <c r="F11" s="60">
        <f t="shared" si="0"/>
        <v>1440</v>
      </c>
      <c r="G11" s="60">
        <f t="shared" si="0"/>
        <v>1440</v>
      </c>
      <c r="H11" s="60">
        <f t="shared" si="0"/>
        <v>1440</v>
      </c>
      <c r="I11" s="12" t="s">
        <v>42</v>
      </c>
      <c r="J11" s="12" t="s">
        <v>29</v>
      </c>
      <c r="L11" s="12">
        <v>1000</v>
      </c>
      <c r="M11" s="12">
        <v>2000</v>
      </c>
      <c r="N11" s="12">
        <v>4000</v>
      </c>
      <c r="P11" s="12" t="s">
        <v>65</v>
      </c>
      <c r="Q11" s="12">
        <v>1200</v>
      </c>
    </row>
    <row r="12" spans="1:19" s="12" customFormat="1" x14ac:dyDescent="0.4">
      <c r="B12" s="12" t="s">
        <v>92</v>
      </c>
      <c r="C12" s="62"/>
      <c r="D12" s="51">
        <f>+M14*0.4</f>
        <v>72</v>
      </c>
      <c r="E12" s="62">
        <f t="shared" si="0"/>
        <v>72</v>
      </c>
      <c r="F12" s="62">
        <f t="shared" si="0"/>
        <v>72</v>
      </c>
      <c r="G12" s="62">
        <f t="shared" si="0"/>
        <v>72</v>
      </c>
      <c r="H12" s="62">
        <f t="shared" si="0"/>
        <v>72</v>
      </c>
      <c r="J12" s="12" t="s">
        <v>30</v>
      </c>
      <c r="M12" s="12">
        <v>200</v>
      </c>
      <c r="N12" s="12">
        <v>400</v>
      </c>
      <c r="P12" s="12" t="s">
        <v>66</v>
      </c>
      <c r="Q12" s="12">
        <v>600</v>
      </c>
    </row>
    <row r="13" spans="1:19" s="12" customFormat="1" x14ac:dyDescent="0.4">
      <c r="B13" s="12" t="s">
        <v>95</v>
      </c>
      <c r="C13" s="62"/>
      <c r="D13" s="81">
        <f>+C23*(1-$N$15)*0.4</f>
        <v>590.4</v>
      </c>
      <c r="E13" s="81">
        <f>+D23*(1-$N$15)*0.4</f>
        <v>372.54240000000004</v>
      </c>
      <c r="F13" s="81">
        <f>+E23*(1-$N$15)*0.4</f>
        <v>235.07425440000003</v>
      </c>
      <c r="G13" s="81">
        <f>+F23*(1-$N$15)*0.4</f>
        <v>148.33185452640001</v>
      </c>
      <c r="H13" s="81">
        <f>+G23*(1-$N$15)*0.4</f>
        <v>93.597400206158397</v>
      </c>
      <c r="J13" s="12" t="s">
        <v>31</v>
      </c>
      <c r="M13" s="12">
        <v>10</v>
      </c>
      <c r="N13" s="12">
        <v>5</v>
      </c>
      <c r="P13" s="12" t="s">
        <v>67</v>
      </c>
      <c r="Q13" s="12">
        <v>-800</v>
      </c>
    </row>
    <row r="14" spans="1:19" s="12" customFormat="1" x14ac:dyDescent="0.4">
      <c r="B14" s="12" t="s">
        <v>93</v>
      </c>
      <c r="C14" s="62">
        <f>-SUM(Q11:Q13)</f>
        <v>-1000</v>
      </c>
      <c r="D14" s="62"/>
      <c r="E14" s="62"/>
      <c r="F14" s="62"/>
      <c r="G14" s="62"/>
      <c r="H14" s="62">
        <f>-C14</f>
        <v>1000</v>
      </c>
      <c r="I14" s="12" t="s">
        <v>21</v>
      </c>
      <c r="J14" s="12" t="s">
        <v>32</v>
      </c>
      <c r="M14" s="12">
        <f>+(M11-M12)/M13</f>
        <v>180</v>
      </c>
      <c r="N14" s="12" t="s">
        <v>91</v>
      </c>
    </row>
    <row r="15" spans="1:19" s="12" customFormat="1" x14ac:dyDescent="0.4">
      <c r="B15" s="12" t="s">
        <v>94</v>
      </c>
      <c r="C15" s="62"/>
      <c r="D15" s="62"/>
      <c r="E15" s="62"/>
      <c r="F15" s="62"/>
      <c r="G15" s="62"/>
      <c r="H15" s="62">
        <f>+SUM(L20,L22,M20,M22,N20)</f>
        <v>2380</v>
      </c>
      <c r="J15" s="12" t="s">
        <v>96</v>
      </c>
      <c r="N15" s="80">
        <v>0.63100000000000001</v>
      </c>
      <c r="Q15" s="12" t="s">
        <v>76</v>
      </c>
    </row>
    <row r="16" spans="1:19" s="12" customFormat="1" x14ac:dyDescent="0.4">
      <c r="B16" s="12" t="s">
        <v>98</v>
      </c>
      <c r="C16" s="62">
        <f t="shared" ref="C16:H16" si="1">+SUM(C11:C15)</f>
        <v>-8000</v>
      </c>
      <c r="D16" s="62">
        <f t="shared" si="1"/>
        <v>2102.4</v>
      </c>
      <c r="E16" s="62">
        <f t="shared" si="1"/>
        <v>1884.5424</v>
      </c>
      <c r="F16" s="62">
        <f t="shared" si="1"/>
        <v>1747.0742544</v>
      </c>
      <c r="G16" s="62">
        <f t="shared" si="1"/>
        <v>1660.3318545264001</v>
      </c>
      <c r="H16" s="62">
        <f t="shared" si="1"/>
        <v>4985.5974002061585</v>
      </c>
    </row>
    <row r="17" spans="1:20" s="12" customFormat="1" x14ac:dyDescent="0.4">
      <c r="B17" s="12" t="s">
        <v>1</v>
      </c>
      <c r="C17" s="12">
        <v>1</v>
      </c>
      <c r="D17" s="64">
        <v>0.92589999999999995</v>
      </c>
      <c r="E17" s="64">
        <v>0.85729999999999995</v>
      </c>
      <c r="F17" s="64">
        <v>0.79379999999999995</v>
      </c>
      <c r="G17" s="64">
        <v>0.73499999999999999</v>
      </c>
      <c r="H17" s="64">
        <v>0.68059999999999998</v>
      </c>
      <c r="J17" s="12" t="s">
        <v>68</v>
      </c>
      <c r="Q17" s="12" t="s">
        <v>77</v>
      </c>
    </row>
    <row r="18" spans="1:20" s="12" customFormat="1" x14ac:dyDescent="0.4">
      <c r="B18" s="12" t="s">
        <v>9</v>
      </c>
      <c r="C18" s="12">
        <f t="shared" ref="C18:H18" si="2">+C16*C17</f>
        <v>-8000</v>
      </c>
      <c r="D18" s="12">
        <f t="shared" si="2"/>
        <v>1946.6121599999999</v>
      </c>
      <c r="E18" s="12">
        <f t="shared" si="2"/>
        <v>1615.61819952</v>
      </c>
      <c r="F18" s="12">
        <f t="shared" si="2"/>
        <v>1386.8275431427198</v>
      </c>
      <c r="G18" s="12">
        <f t="shared" si="2"/>
        <v>1220.3439130769041</v>
      </c>
      <c r="H18" s="12">
        <f t="shared" si="2"/>
        <v>3393.1975905803115</v>
      </c>
      <c r="L18" s="63" t="s">
        <v>69</v>
      </c>
      <c r="M18" s="12" t="s">
        <v>51</v>
      </c>
      <c r="N18" s="12" t="s">
        <v>52</v>
      </c>
      <c r="O18" s="63"/>
    </row>
    <row r="19" spans="1:20" s="12" customFormat="1" x14ac:dyDescent="0.4">
      <c r="A19" s="12" t="s">
        <v>12</v>
      </c>
      <c r="B19" s="12" t="s">
        <v>79</v>
      </c>
      <c r="C19" s="82">
        <f>+SUM(C18:H18)</f>
        <v>1562.5994063199348</v>
      </c>
      <c r="J19" s="12" t="s">
        <v>70</v>
      </c>
      <c r="L19" s="63">
        <v>1000</v>
      </c>
      <c r="M19" s="63">
        <f>+M11-M14*5</f>
        <v>1100</v>
      </c>
      <c r="N19" s="12">
        <v>400</v>
      </c>
      <c r="O19" s="63"/>
    </row>
    <row r="20" spans="1:20" s="12" customFormat="1" x14ac:dyDescent="0.4">
      <c r="A20" s="12" t="s">
        <v>13</v>
      </c>
      <c r="B20" s="4" t="s">
        <v>99</v>
      </c>
      <c r="C20" s="83">
        <f>+IRR(C16:H16)</f>
        <v>0.14209098774147488</v>
      </c>
      <c r="D20" s="4"/>
      <c r="E20" s="4"/>
      <c r="F20" s="4"/>
      <c r="G20" s="4"/>
      <c r="H20" s="4"/>
      <c r="J20" s="12" t="s">
        <v>71</v>
      </c>
      <c r="L20" s="63">
        <f>+L19*1.1</f>
        <v>1100</v>
      </c>
      <c r="M20" s="63">
        <v>800</v>
      </c>
      <c r="N20" s="12">
        <v>400</v>
      </c>
      <c r="O20" s="63" t="s">
        <v>75</v>
      </c>
    </row>
    <row r="21" spans="1:20" s="12" customFormat="1" x14ac:dyDescent="0.4">
      <c r="A21" s="4"/>
      <c r="B21" s="79"/>
      <c r="C21" s="4"/>
      <c r="D21" s="4"/>
      <c r="E21" s="4"/>
      <c r="F21" s="4"/>
      <c r="G21" s="4"/>
      <c r="H21" s="4"/>
      <c r="J21" s="12" t="s">
        <v>72</v>
      </c>
      <c r="L21" s="63">
        <f>+L20-L19</f>
        <v>100</v>
      </c>
      <c r="M21" s="63">
        <f>+M20-M19</f>
        <v>-300</v>
      </c>
      <c r="O21" s="63"/>
    </row>
    <row r="22" spans="1:20" s="12" customFormat="1" x14ac:dyDescent="0.4">
      <c r="A22" s="4"/>
      <c r="B22" s="4" t="s">
        <v>97</v>
      </c>
      <c r="C22" s="4"/>
      <c r="D22" s="4"/>
      <c r="E22" s="4"/>
      <c r="F22" s="4"/>
      <c r="G22" s="4"/>
      <c r="H22" s="4"/>
      <c r="J22" s="12" t="s">
        <v>73</v>
      </c>
      <c r="L22" s="63">
        <f>-L21*0.4</f>
        <v>-40</v>
      </c>
      <c r="M22" s="63">
        <f>-M21*0.4</f>
        <v>120</v>
      </c>
      <c r="O22" s="63" t="s">
        <v>74</v>
      </c>
    </row>
    <row r="23" spans="1:20" s="12" customFormat="1" x14ac:dyDescent="0.4">
      <c r="A23" s="4"/>
      <c r="B23" s="4"/>
      <c r="C23" s="4">
        <f>+N11</f>
        <v>4000</v>
      </c>
      <c r="D23" s="4">
        <f>+C23*$N$15</f>
        <v>2524</v>
      </c>
      <c r="E23" s="4">
        <f>+D23*$N$15</f>
        <v>1592.644</v>
      </c>
      <c r="F23" s="4">
        <f>+E23*$N$15</f>
        <v>1004.958364</v>
      </c>
      <c r="G23" s="4">
        <f>+F23*$N$15</f>
        <v>634.12872768399995</v>
      </c>
      <c r="H23" s="4">
        <f>+G23*$N$15</f>
        <v>400.13522716860399</v>
      </c>
      <c r="K23" s="63"/>
      <c r="L23" s="63"/>
      <c r="M23" s="63"/>
      <c r="N23" s="63"/>
    </row>
    <row r="24" spans="1:20" x14ac:dyDescent="0.4">
      <c r="I24" s="12"/>
      <c r="J24" s="12"/>
      <c r="K24" s="63"/>
      <c r="L24" s="63"/>
      <c r="M24" s="63"/>
      <c r="N24" s="63"/>
      <c r="O24" s="12"/>
      <c r="P24" s="12"/>
      <c r="Q24" s="12"/>
      <c r="R24" s="12"/>
      <c r="S24" s="12"/>
      <c r="T24" s="12"/>
    </row>
    <row r="25" spans="1:20" ht="19.8" x14ac:dyDescent="0.4">
      <c r="A25" s="199" t="s">
        <v>716</v>
      </c>
      <c r="B25" s="189"/>
      <c r="C25" s="190"/>
      <c r="D25" s="190"/>
      <c r="E25" s="190"/>
      <c r="F25" s="190"/>
      <c r="G25" s="189"/>
      <c r="H25" s="189"/>
      <c r="I25" s="189"/>
      <c r="J25" s="189"/>
      <c r="K25" s="189"/>
      <c r="L25" s="189"/>
      <c r="M25" s="189"/>
      <c r="N25" s="191"/>
    </row>
    <row r="26" spans="1:20" x14ac:dyDescent="0.4">
      <c r="A26" s="192"/>
      <c r="B26" s="193" t="s">
        <v>84</v>
      </c>
      <c r="C26" s="194"/>
      <c r="D26" s="194"/>
      <c r="E26" s="194"/>
      <c r="F26" s="194"/>
      <c r="G26" s="193" t="s">
        <v>85</v>
      </c>
      <c r="H26" s="193"/>
      <c r="I26" s="193"/>
      <c r="J26" s="193"/>
      <c r="K26" s="193"/>
      <c r="L26" s="193"/>
      <c r="M26" s="193"/>
      <c r="N26" s="195"/>
    </row>
    <row r="27" spans="1:20" x14ac:dyDescent="0.4">
      <c r="A27" s="192"/>
      <c r="B27" s="193" t="s">
        <v>712</v>
      </c>
      <c r="C27" s="194"/>
      <c r="D27" s="194"/>
      <c r="E27" s="194"/>
      <c r="F27" s="194"/>
      <c r="G27" s="193" t="s">
        <v>714</v>
      </c>
      <c r="H27" s="193"/>
      <c r="I27" s="193"/>
      <c r="J27" s="193"/>
      <c r="K27" s="193"/>
      <c r="L27" s="193"/>
      <c r="M27" s="193"/>
      <c r="N27" s="195"/>
    </row>
    <row r="28" spans="1:20" x14ac:dyDescent="0.4">
      <c r="A28" s="192"/>
      <c r="B28" s="193" t="s">
        <v>713</v>
      </c>
      <c r="C28" s="194"/>
      <c r="D28" s="194"/>
      <c r="E28" s="194"/>
      <c r="F28" s="194"/>
      <c r="G28" s="193" t="s">
        <v>715</v>
      </c>
      <c r="H28" s="193"/>
      <c r="I28" s="193"/>
      <c r="J28" s="193"/>
      <c r="K28" s="193"/>
      <c r="L28" s="193"/>
      <c r="M28" s="193"/>
      <c r="N28" s="195"/>
    </row>
    <row r="29" spans="1:20" x14ac:dyDescent="0.4">
      <c r="A29" s="192"/>
      <c r="B29" s="193" t="s">
        <v>34</v>
      </c>
      <c r="C29" s="194"/>
      <c r="D29" s="194" t="s">
        <v>8</v>
      </c>
      <c r="E29" s="194"/>
      <c r="F29" s="194"/>
      <c r="G29" s="193" t="s">
        <v>34</v>
      </c>
      <c r="H29" s="194"/>
      <c r="I29" s="194" t="s">
        <v>8</v>
      </c>
      <c r="J29" s="194"/>
      <c r="K29" s="193"/>
      <c r="L29" s="193"/>
      <c r="M29" s="193"/>
      <c r="N29" s="195"/>
    </row>
    <row r="30" spans="1:20" x14ac:dyDescent="0.4">
      <c r="A30" s="192"/>
      <c r="B30" s="61" t="s">
        <v>50</v>
      </c>
      <c r="C30" s="48">
        <v>12000</v>
      </c>
      <c r="D30" s="49" t="s">
        <v>83</v>
      </c>
      <c r="E30" s="50">
        <v>14400</v>
      </c>
      <c r="F30" s="194"/>
      <c r="G30" s="61" t="s">
        <v>50</v>
      </c>
      <c r="H30" s="48">
        <v>12000</v>
      </c>
      <c r="I30" s="49" t="s">
        <v>83</v>
      </c>
      <c r="J30" s="50">
        <v>14400</v>
      </c>
      <c r="K30" s="193"/>
      <c r="L30" s="193"/>
      <c r="M30" s="193"/>
      <c r="N30" s="195"/>
    </row>
    <row r="31" spans="1:20" x14ac:dyDescent="0.4">
      <c r="A31" s="192"/>
      <c r="B31" s="65"/>
      <c r="C31" s="51"/>
      <c r="D31" s="52"/>
      <c r="E31" s="53"/>
      <c r="F31" s="194"/>
      <c r="G31" s="65"/>
      <c r="H31" s="51"/>
      <c r="I31" s="52"/>
      <c r="J31" s="53"/>
      <c r="K31" s="193"/>
      <c r="L31" s="193"/>
      <c r="M31" s="193"/>
      <c r="N31" s="195"/>
    </row>
    <row r="32" spans="1:20" x14ac:dyDescent="0.4">
      <c r="A32" s="192"/>
      <c r="B32" s="67" t="s">
        <v>37</v>
      </c>
      <c r="C32" s="68" t="s">
        <v>711</v>
      </c>
      <c r="D32" s="52"/>
      <c r="E32" s="53"/>
      <c r="F32" s="194"/>
      <c r="G32" s="73" t="s">
        <v>86</v>
      </c>
      <c r="H32" s="76" t="s">
        <v>87</v>
      </c>
      <c r="I32" s="52"/>
      <c r="J32" s="53"/>
      <c r="K32" s="193"/>
      <c r="L32" s="193"/>
      <c r="M32" s="193"/>
      <c r="N32" s="195"/>
    </row>
    <row r="33" spans="1:14" x14ac:dyDescent="0.4">
      <c r="A33" s="192"/>
      <c r="B33" s="69"/>
      <c r="C33" s="70"/>
      <c r="D33" s="52"/>
      <c r="E33" s="53"/>
      <c r="F33" s="194"/>
      <c r="G33" s="74">
        <f>(J30-H30)*0.6</f>
        <v>1440</v>
      </c>
      <c r="H33" s="77" t="s">
        <v>90</v>
      </c>
      <c r="I33" s="52"/>
      <c r="J33" s="53"/>
      <c r="K33" s="193"/>
      <c r="L33" s="193"/>
      <c r="M33" s="193"/>
      <c r="N33" s="195"/>
    </row>
    <row r="34" spans="1:14" x14ac:dyDescent="0.4">
      <c r="A34" s="192"/>
      <c r="B34" s="65" t="s">
        <v>53</v>
      </c>
      <c r="C34" s="71">
        <f>+E30-SUM(F14,C30)</f>
        <v>2400</v>
      </c>
      <c r="D34" s="52"/>
      <c r="E34" s="53"/>
      <c r="F34" s="194"/>
      <c r="G34" s="74"/>
      <c r="H34" s="51" t="s">
        <v>88</v>
      </c>
      <c r="I34" s="52"/>
      <c r="J34" s="53"/>
      <c r="K34" s="193"/>
      <c r="L34" s="193"/>
      <c r="M34" s="193"/>
      <c r="N34" s="195"/>
    </row>
    <row r="35" spans="1:14" x14ac:dyDescent="0.4">
      <c r="A35" s="192"/>
      <c r="B35" s="40" t="s">
        <v>54</v>
      </c>
      <c r="C35" s="71" t="s">
        <v>55</v>
      </c>
      <c r="D35" s="52"/>
      <c r="E35" s="53"/>
      <c r="F35" s="194"/>
      <c r="G35" s="74"/>
      <c r="H35" s="51">
        <f>+(J30-H30)*0.4</f>
        <v>960</v>
      </c>
      <c r="I35" s="52"/>
      <c r="J35" s="53"/>
      <c r="K35" s="193"/>
      <c r="L35" s="193"/>
      <c r="M35" s="193"/>
      <c r="N35" s="195"/>
    </row>
    <row r="36" spans="1:14" x14ac:dyDescent="0.4">
      <c r="A36" s="192"/>
      <c r="B36" s="29">
        <f>+C34*0.4</f>
        <v>960</v>
      </c>
      <c r="C36" s="72">
        <f>+C34*0.6</f>
        <v>1440</v>
      </c>
      <c r="D36" s="55"/>
      <c r="E36" s="54"/>
      <c r="F36" s="194"/>
      <c r="G36" s="75"/>
      <c r="H36" s="78" t="s">
        <v>89</v>
      </c>
      <c r="I36" s="55"/>
      <c r="J36" s="54"/>
      <c r="K36" s="193"/>
      <c r="L36" s="193"/>
      <c r="M36" s="193"/>
      <c r="N36" s="195"/>
    </row>
    <row r="37" spans="1:14" x14ac:dyDescent="0.4">
      <c r="A37" s="196"/>
      <c r="B37" s="197" t="s">
        <v>56</v>
      </c>
      <c r="C37" s="197" t="s">
        <v>711</v>
      </c>
      <c r="D37" s="197"/>
      <c r="E37" s="197"/>
      <c r="F37" s="197"/>
      <c r="G37" s="197" t="s">
        <v>56</v>
      </c>
      <c r="H37" s="197"/>
      <c r="I37" s="197"/>
      <c r="J37" s="197"/>
      <c r="K37" s="197"/>
      <c r="L37" s="197"/>
      <c r="M37" s="197"/>
      <c r="N37" s="198"/>
    </row>
  </sheetData>
  <phoneticPr fontId="3"/>
  <pageMargins left="0.25" right="0.25" top="0.75" bottom="0.75" header="0.3" footer="0.3"/>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opLeftCell="A4"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9" x14ac:dyDescent="0.4">
      <c r="A1" s="1" t="s">
        <v>302</v>
      </c>
      <c r="B1" s="2"/>
      <c r="C1" s="2"/>
      <c r="D1" s="2"/>
      <c r="E1" s="2"/>
      <c r="F1" s="2"/>
      <c r="G1" s="2"/>
      <c r="H1" s="2"/>
      <c r="I1" s="2"/>
      <c r="J1" s="2"/>
      <c r="K1" s="2"/>
      <c r="L1" s="2"/>
      <c r="M1" s="2"/>
      <c r="N1" s="2"/>
      <c r="O1" s="2"/>
      <c r="P1" s="2"/>
      <c r="Q1" s="3"/>
    </row>
    <row r="2" spans="1:19" x14ac:dyDescent="0.4">
      <c r="A2" s="5" t="s">
        <v>310</v>
      </c>
      <c r="B2" s="6"/>
      <c r="C2" s="6"/>
      <c r="D2" s="6"/>
      <c r="E2" s="6"/>
      <c r="F2" s="6"/>
      <c r="G2" s="6"/>
      <c r="H2" s="6"/>
      <c r="I2" s="6"/>
      <c r="J2" s="6"/>
      <c r="K2" s="6"/>
      <c r="L2" s="6"/>
      <c r="M2" s="6"/>
      <c r="N2" s="6"/>
      <c r="O2" s="6"/>
      <c r="P2" s="6"/>
      <c r="Q2" s="7"/>
    </row>
    <row r="3" spans="1:19" x14ac:dyDescent="0.4">
      <c r="A3" s="8" t="s">
        <v>2</v>
      </c>
      <c r="B3" s="9"/>
      <c r="C3" s="9"/>
      <c r="D3" s="9"/>
      <c r="E3" s="9"/>
      <c r="F3" s="9"/>
      <c r="G3" s="9"/>
      <c r="H3" s="9"/>
      <c r="I3" s="9"/>
      <c r="J3" s="9"/>
      <c r="K3" s="9"/>
      <c r="L3" s="9"/>
      <c r="M3" s="9"/>
      <c r="N3" s="9"/>
      <c r="O3" s="9"/>
      <c r="P3" s="9"/>
      <c r="Q3" s="10"/>
    </row>
    <row r="4" spans="1:19" s="12" customFormat="1" x14ac:dyDescent="0.4">
      <c r="A4" s="11"/>
      <c r="B4" s="11"/>
      <c r="C4" s="11"/>
      <c r="D4" s="11"/>
      <c r="E4" s="11"/>
      <c r="F4" s="11"/>
      <c r="G4" s="11"/>
      <c r="H4" s="11"/>
      <c r="I4" s="11"/>
      <c r="J4" s="11"/>
      <c r="K4" s="11"/>
      <c r="L4" s="11"/>
      <c r="M4" s="11"/>
      <c r="N4" s="11"/>
      <c r="O4" s="11"/>
      <c r="P4" s="11"/>
      <c r="Q4" s="11"/>
    </row>
    <row r="5" spans="1:19" ht="18" customHeight="1" x14ac:dyDescent="0.4">
      <c r="A5" s="13" t="s">
        <v>0</v>
      </c>
      <c r="B5" s="14"/>
      <c r="C5" s="14"/>
      <c r="D5" s="14"/>
      <c r="E5" s="14"/>
      <c r="F5" s="14"/>
      <c r="G5" s="14"/>
      <c r="H5" s="14"/>
      <c r="I5" s="14"/>
      <c r="J5" s="14"/>
      <c r="K5" s="14"/>
      <c r="L5" s="14"/>
      <c r="M5" s="14"/>
      <c r="N5" s="14"/>
      <c r="O5" s="14"/>
      <c r="P5" s="14"/>
      <c r="Q5" s="14"/>
      <c r="R5" s="15"/>
    </row>
    <row r="6" spans="1:19" x14ac:dyDescent="0.4">
      <c r="A6" s="16" t="s">
        <v>141</v>
      </c>
      <c r="B6" s="17"/>
      <c r="C6" s="17"/>
      <c r="D6" s="17"/>
      <c r="E6" s="17"/>
      <c r="F6" s="17"/>
      <c r="G6" s="17"/>
      <c r="H6" s="17"/>
      <c r="I6" s="17"/>
      <c r="J6" s="17"/>
      <c r="K6" s="17"/>
      <c r="L6" s="17"/>
      <c r="M6" s="17"/>
      <c r="N6" s="17"/>
      <c r="O6" s="17"/>
      <c r="P6" s="17"/>
      <c r="Q6" s="17"/>
      <c r="R6" s="18"/>
    </row>
    <row r="7" spans="1:19" x14ac:dyDescent="0.4">
      <c r="A7" s="110" t="s">
        <v>142</v>
      </c>
      <c r="B7" s="17"/>
      <c r="C7" s="17"/>
      <c r="D7" s="17"/>
      <c r="E7" s="17"/>
      <c r="F7" s="17"/>
      <c r="G7" s="17"/>
      <c r="H7" s="17"/>
      <c r="I7" s="17"/>
      <c r="J7" s="17"/>
      <c r="K7" s="17"/>
      <c r="L7" s="17"/>
      <c r="M7" s="17"/>
      <c r="N7" s="17"/>
      <c r="O7" s="17"/>
      <c r="P7" s="17"/>
      <c r="Q7" s="17"/>
      <c r="R7" s="18"/>
    </row>
    <row r="8" spans="1:19" x14ac:dyDescent="0.4">
      <c r="A8" s="109" t="s">
        <v>143</v>
      </c>
      <c r="B8" s="17"/>
      <c r="C8" s="17"/>
      <c r="D8" s="17"/>
      <c r="E8" s="17"/>
      <c r="F8" s="17"/>
      <c r="G8" s="17"/>
      <c r="H8" s="17"/>
      <c r="I8" s="17"/>
      <c r="J8" s="17"/>
      <c r="K8" s="17"/>
      <c r="L8" s="17"/>
      <c r="M8" s="17"/>
      <c r="N8" s="17"/>
      <c r="O8" s="17"/>
      <c r="P8" s="17"/>
      <c r="Q8" s="17"/>
      <c r="R8" s="18"/>
    </row>
    <row r="9" spans="1:19" x14ac:dyDescent="0.4">
      <c r="A9" s="108" t="s">
        <v>144</v>
      </c>
      <c r="B9" s="17"/>
      <c r="C9" s="17"/>
      <c r="D9" s="17"/>
      <c r="E9" s="17"/>
      <c r="F9" s="17"/>
      <c r="G9" s="17"/>
      <c r="H9" s="17"/>
      <c r="I9" s="17"/>
      <c r="J9" s="17"/>
      <c r="K9" s="17"/>
      <c r="L9" s="17"/>
      <c r="M9" s="17"/>
      <c r="N9" s="17"/>
      <c r="O9" s="17"/>
      <c r="P9" s="17"/>
      <c r="Q9" s="17"/>
      <c r="R9" s="18"/>
    </row>
    <row r="10" spans="1:19" x14ac:dyDescent="0.4">
      <c r="A10" s="111" t="s">
        <v>145</v>
      </c>
      <c r="B10" s="17"/>
      <c r="C10" s="17"/>
      <c r="D10" s="17"/>
      <c r="E10" s="17"/>
      <c r="F10" s="17"/>
      <c r="G10" s="17"/>
      <c r="H10" s="17"/>
      <c r="I10" s="17"/>
      <c r="J10" s="17"/>
      <c r="K10" s="17"/>
      <c r="L10" s="17"/>
      <c r="M10" s="17"/>
      <c r="N10" s="17"/>
      <c r="O10" s="17"/>
      <c r="P10" s="17"/>
      <c r="Q10" s="17"/>
      <c r="R10" s="18"/>
    </row>
    <row r="11" spans="1:19" x14ac:dyDescent="0.4">
      <c r="A11" s="19" t="s">
        <v>146</v>
      </c>
      <c r="B11" s="20"/>
      <c r="C11" s="20"/>
      <c r="D11" s="20"/>
      <c r="E11" s="20"/>
      <c r="F11" s="20"/>
      <c r="G11" s="20"/>
      <c r="H11" s="20"/>
      <c r="I11" s="20"/>
      <c r="J11" s="20"/>
      <c r="K11" s="20"/>
      <c r="L11" s="20"/>
      <c r="M11" s="20"/>
      <c r="N11" s="20"/>
      <c r="O11" s="20"/>
      <c r="P11" s="20"/>
      <c r="Q11" s="20"/>
      <c r="R11" s="21"/>
    </row>
    <row r="12" spans="1:19" s="12" customFormat="1" ht="17.25" customHeight="1" x14ac:dyDescent="0.4">
      <c r="B12" s="22"/>
      <c r="C12" s="22"/>
      <c r="D12" s="22"/>
      <c r="E12" s="22"/>
      <c r="F12" s="22"/>
      <c r="G12" s="22"/>
      <c r="H12" s="22"/>
      <c r="I12" s="22"/>
      <c r="J12" s="22"/>
      <c r="K12" s="22"/>
      <c r="L12" s="22"/>
      <c r="M12" s="22"/>
      <c r="N12" s="22"/>
      <c r="O12" s="22"/>
      <c r="P12" s="22"/>
      <c r="Q12" s="22"/>
      <c r="R12" s="22"/>
      <c r="S12" s="22"/>
    </row>
    <row r="13" spans="1:19" x14ac:dyDescent="0.4">
      <c r="B13" s="12"/>
      <c r="C13" s="12">
        <f>-SUM(L34:N34)</f>
        <v>-20500</v>
      </c>
      <c r="D13" s="12"/>
      <c r="E13" s="12"/>
      <c r="F13" s="12"/>
      <c r="G13" s="12"/>
      <c r="H13" s="12"/>
      <c r="I13" s="12"/>
      <c r="J13" s="12" t="s">
        <v>102</v>
      </c>
      <c r="K13" s="12"/>
      <c r="L13" s="12"/>
      <c r="M13" s="12"/>
    </row>
    <row r="14" spans="1:19" x14ac:dyDescent="0.4">
      <c r="B14" s="12"/>
      <c r="C14" s="56" t="s">
        <v>119</v>
      </c>
      <c r="D14" s="57" t="s">
        <v>121</v>
      </c>
      <c r="E14" s="57" t="s">
        <v>123</v>
      </c>
      <c r="F14" s="58" t="s">
        <v>125</v>
      </c>
      <c r="G14" s="58" t="s">
        <v>127</v>
      </c>
      <c r="H14" s="12"/>
      <c r="I14" s="12"/>
      <c r="J14" s="12" t="s">
        <v>34</v>
      </c>
      <c r="K14" s="63"/>
      <c r="L14" s="63" t="s">
        <v>8</v>
      </c>
      <c r="M14" s="63"/>
    </row>
    <row r="15" spans="1:19" x14ac:dyDescent="0.4">
      <c r="B15" s="60" t="s">
        <v>112</v>
      </c>
      <c r="C15" s="59"/>
      <c r="D15" s="66">
        <f>+M45*M46</f>
        <v>31500</v>
      </c>
      <c r="E15" s="66">
        <f>+N45*N46</f>
        <v>35100</v>
      </c>
      <c r="F15" s="66">
        <f>+O45*O46</f>
        <v>30000</v>
      </c>
      <c r="G15" s="66">
        <f>+P45*P46</f>
        <v>21000</v>
      </c>
      <c r="H15" s="12"/>
      <c r="I15" s="12"/>
      <c r="J15" s="61" t="s">
        <v>50</v>
      </c>
      <c r="K15" s="48" t="s">
        <v>103</v>
      </c>
      <c r="L15" s="49" t="s">
        <v>83</v>
      </c>
      <c r="M15" s="50" t="s">
        <v>103</v>
      </c>
    </row>
    <row r="16" spans="1:19" x14ac:dyDescent="0.4">
      <c r="B16" s="106" t="s">
        <v>113</v>
      </c>
      <c r="C16" s="62"/>
      <c r="D16" s="51">
        <f>-D15*0.65</f>
        <v>-20475</v>
      </c>
      <c r="E16" s="51">
        <f>-E15*0.65</f>
        <v>-22815</v>
      </c>
      <c r="F16" s="51">
        <f>-F15*0.65</f>
        <v>-19500</v>
      </c>
      <c r="G16" s="51">
        <f>-G15*0.65</f>
        <v>-13650</v>
      </c>
      <c r="H16" s="12"/>
      <c r="I16" s="12"/>
      <c r="J16" s="65"/>
      <c r="K16" s="51"/>
      <c r="L16" s="52"/>
      <c r="M16" s="53"/>
    </row>
    <row r="17" spans="1:14" x14ac:dyDescent="0.4">
      <c r="B17" s="106" t="s">
        <v>130</v>
      </c>
      <c r="C17" s="62"/>
      <c r="D17" s="51">
        <v>-5000</v>
      </c>
      <c r="E17" s="51">
        <v>-5000</v>
      </c>
      <c r="F17" s="51">
        <v>-5000</v>
      </c>
      <c r="G17" s="51">
        <v>-5000</v>
      </c>
      <c r="H17" s="12"/>
      <c r="I17" s="12"/>
      <c r="J17" s="73" t="s">
        <v>56</v>
      </c>
      <c r="K17" s="100" t="s">
        <v>87</v>
      </c>
      <c r="L17" s="52"/>
      <c r="M17" s="53"/>
    </row>
    <row r="18" spans="1:14" x14ac:dyDescent="0.4">
      <c r="B18" s="57" t="s">
        <v>131</v>
      </c>
      <c r="C18" s="62"/>
      <c r="D18" s="71">
        <f>+SUM(D15:D17)*0.6</f>
        <v>3615</v>
      </c>
      <c r="E18" s="71">
        <f>+SUM(E15:E17)*0.6</f>
        <v>4371</v>
      </c>
      <c r="F18" s="71">
        <f>+SUM(F15:F17)*0.6</f>
        <v>3300</v>
      </c>
      <c r="G18" s="71">
        <f>+SUM(G15:G17)*0.6</f>
        <v>1410</v>
      </c>
      <c r="H18" s="12" t="s">
        <v>148</v>
      </c>
      <c r="I18" s="12"/>
      <c r="J18" s="74" t="s">
        <v>104</v>
      </c>
      <c r="K18" s="101" t="s">
        <v>90</v>
      </c>
      <c r="L18" s="52"/>
      <c r="M18" s="53"/>
    </row>
    <row r="19" spans="1:14" x14ac:dyDescent="0.4">
      <c r="B19" s="60" t="s">
        <v>92</v>
      </c>
      <c r="C19" s="62"/>
      <c r="D19" s="94">
        <f>+M37*0.4</f>
        <v>234</v>
      </c>
      <c r="E19" s="95">
        <f>+D19</f>
        <v>234</v>
      </c>
      <c r="F19" s="95">
        <f>+E19</f>
        <v>234</v>
      </c>
      <c r="G19" s="95">
        <f>+F19</f>
        <v>234</v>
      </c>
      <c r="H19" s="12" t="s">
        <v>147</v>
      </c>
      <c r="I19" s="12"/>
      <c r="J19" s="74"/>
      <c r="K19" s="51" t="s">
        <v>88</v>
      </c>
      <c r="L19" s="52"/>
      <c r="M19" s="53"/>
    </row>
    <row r="20" spans="1:14" x14ac:dyDescent="0.4">
      <c r="B20" s="106" t="s">
        <v>95</v>
      </c>
      <c r="C20" s="62"/>
      <c r="D20" s="96">
        <f>+L42*(1-$N$38)*0.4</f>
        <v>1576.8</v>
      </c>
      <c r="E20" s="96">
        <f>+M42*(1-$N$38)*0.4</f>
        <v>886.16160000000002</v>
      </c>
      <c r="F20" s="96">
        <f>+N42*(1-$N$38)*0.4</f>
        <v>498.02281920000019</v>
      </c>
      <c r="G20" s="96">
        <f>+O42*(1-$N$38)*0.4</f>
        <v>279.88882439040009</v>
      </c>
      <c r="H20" s="12" t="s">
        <v>149</v>
      </c>
      <c r="I20" s="12"/>
      <c r="J20" s="74"/>
      <c r="K20" s="51" t="s">
        <v>105</v>
      </c>
      <c r="L20" s="52"/>
      <c r="M20" s="53"/>
    </row>
    <row r="21" spans="1:14" x14ac:dyDescent="0.4">
      <c r="B21" s="107" t="s">
        <v>93</v>
      </c>
      <c r="C21" s="105">
        <f>+L53</f>
        <v>-3150</v>
      </c>
      <c r="D21" s="105">
        <f>+M53</f>
        <v>-360</v>
      </c>
      <c r="E21" s="105">
        <f>+N53</f>
        <v>510</v>
      </c>
      <c r="F21" s="105">
        <f>+O53</f>
        <v>900</v>
      </c>
      <c r="G21" s="93">
        <f>+P53</f>
        <v>2100</v>
      </c>
      <c r="H21" s="12" t="s">
        <v>150</v>
      </c>
      <c r="I21" s="12"/>
      <c r="J21" s="75"/>
      <c r="K21" s="78" t="s">
        <v>89</v>
      </c>
      <c r="L21" s="55"/>
      <c r="M21" s="54"/>
    </row>
    <row r="22" spans="1:14" x14ac:dyDescent="0.4">
      <c r="B22" s="107" t="s">
        <v>94</v>
      </c>
      <c r="C22" s="62"/>
      <c r="D22" s="62"/>
      <c r="E22" s="62"/>
      <c r="F22" s="62"/>
      <c r="G22" s="93">
        <f>+SUM(L58:N58,M60:N60)</f>
        <v>8542</v>
      </c>
      <c r="H22" s="12" t="s">
        <v>151</v>
      </c>
      <c r="I22" s="12"/>
      <c r="J22" s="4" t="s">
        <v>56</v>
      </c>
    </row>
    <row r="23" spans="1:14" x14ac:dyDescent="0.4">
      <c r="B23" s="12" t="s">
        <v>98</v>
      </c>
      <c r="C23" s="62">
        <f>+SUM(C13:C22)</f>
        <v>-23650</v>
      </c>
      <c r="D23" s="62">
        <f>+SUM(D18:D22)</f>
        <v>5065.8</v>
      </c>
      <c r="E23" s="62">
        <f>+SUM(E18:E22)</f>
        <v>6001.1616000000004</v>
      </c>
      <c r="F23" s="62">
        <f>+SUM(F18:F22)</f>
        <v>4932.0228192000004</v>
      </c>
      <c r="G23" s="62">
        <f>+SUM(G18:G22)</f>
        <v>12565.8888243904</v>
      </c>
      <c r="H23" s="12"/>
      <c r="I23" s="12"/>
      <c r="M23" s="87"/>
    </row>
    <row r="24" spans="1:14" x14ac:dyDescent="0.4">
      <c r="B24" s="12" t="s">
        <v>1</v>
      </c>
      <c r="C24" s="12">
        <v>1</v>
      </c>
      <c r="D24" s="64">
        <v>0.92589999999999995</v>
      </c>
      <c r="E24" s="64">
        <v>0.85729999999999995</v>
      </c>
      <c r="F24" s="64">
        <v>0.79379999999999995</v>
      </c>
      <c r="G24" s="64">
        <v>0.73499999999999999</v>
      </c>
      <c r="H24" s="12"/>
      <c r="I24" s="12"/>
      <c r="J24" s="38" t="s">
        <v>106</v>
      </c>
    </row>
    <row r="25" spans="1:14" x14ac:dyDescent="0.4">
      <c r="B25" s="12" t="s">
        <v>9</v>
      </c>
      <c r="C25" s="12">
        <f>+C23*C24</f>
        <v>-23650</v>
      </c>
      <c r="D25" s="12">
        <f>+D23*D24</f>
        <v>4690.4242199999999</v>
      </c>
      <c r="E25" s="12">
        <f>+E23*E24</f>
        <v>5144.7958396800004</v>
      </c>
      <c r="F25" s="12">
        <f>+F23*F24</f>
        <v>3915.0397138809599</v>
      </c>
      <c r="G25" s="12">
        <f>+G23*G24</f>
        <v>9235.9282859269442</v>
      </c>
      <c r="H25" s="12"/>
      <c r="I25" s="12"/>
    </row>
    <row r="26" spans="1:14" x14ac:dyDescent="0.4">
      <c r="B26" s="12" t="s">
        <v>79</v>
      </c>
      <c r="C26" s="82">
        <f>+SUM(C25:G25)</f>
        <v>-663.81194051209422</v>
      </c>
      <c r="D26" s="12"/>
      <c r="E26" s="12"/>
      <c r="F26" s="12"/>
      <c r="G26" s="12"/>
      <c r="H26" s="12"/>
      <c r="I26" s="12"/>
      <c r="J26" s="30"/>
      <c r="K26" s="30" t="s">
        <v>107</v>
      </c>
      <c r="L26" s="88">
        <v>0.5</v>
      </c>
      <c r="M26" s="85">
        <v>0.09</v>
      </c>
      <c r="N26" s="86">
        <f>+M26*0.6</f>
        <v>5.3999999999999999E-2</v>
      </c>
    </row>
    <row r="27" spans="1:14" x14ac:dyDescent="0.4">
      <c r="B27" s="12"/>
      <c r="C27" s="12"/>
      <c r="D27" s="12">
        <f>4.5*7000*0.35</f>
        <v>11025</v>
      </c>
      <c r="E27" s="12"/>
      <c r="F27" s="12"/>
      <c r="G27" s="12"/>
      <c r="H27" s="12"/>
      <c r="I27" s="12"/>
      <c r="J27" s="40"/>
      <c r="K27" s="29"/>
      <c r="L27" s="89"/>
    </row>
    <row r="28" spans="1:14" x14ac:dyDescent="0.4">
      <c r="B28" s="12"/>
      <c r="C28" s="12"/>
      <c r="D28" s="12"/>
      <c r="E28" s="12"/>
      <c r="F28" s="12"/>
      <c r="G28" s="12"/>
      <c r="H28" s="12"/>
      <c r="I28" s="12"/>
      <c r="J28" s="40"/>
      <c r="K28" s="84" t="s">
        <v>108</v>
      </c>
      <c r="L28" s="90">
        <v>0.1</v>
      </c>
      <c r="M28" s="85">
        <v>0.09</v>
      </c>
    </row>
    <row r="29" spans="1:14" x14ac:dyDescent="0.4">
      <c r="A29" s="4" t="s">
        <v>109</v>
      </c>
      <c r="B29" s="12" t="s">
        <v>110</v>
      </c>
      <c r="C29" s="12"/>
      <c r="D29" s="12"/>
      <c r="E29" s="12"/>
      <c r="F29" s="12"/>
      <c r="G29" s="12"/>
      <c r="H29" s="12"/>
      <c r="I29" s="12"/>
      <c r="J29" s="40"/>
      <c r="K29" s="30"/>
      <c r="L29" s="88"/>
    </row>
    <row r="30" spans="1:14" x14ac:dyDescent="0.4">
      <c r="C30" s="92">
        <f>+L26*N26+L28*M28+L30*M30</f>
        <v>0.08</v>
      </c>
      <c r="D30" s="12"/>
      <c r="E30" s="12"/>
      <c r="F30" s="12"/>
      <c r="G30" s="12"/>
      <c r="H30" s="12"/>
      <c r="I30" s="12"/>
      <c r="J30" s="29"/>
      <c r="K30" s="29"/>
      <c r="L30" s="89">
        <v>0.4</v>
      </c>
      <c r="M30" s="85">
        <v>0.11</v>
      </c>
    </row>
    <row r="31" spans="1:14" x14ac:dyDescent="0.4">
      <c r="B31" s="12"/>
      <c r="C31" s="12"/>
      <c r="D31" s="12"/>
      <c r="E31" s="12"/>
      <c r="F31" s="12"/>
      <c r="G31" s="12"/>
      <c r="H31" s="12"/>
      <c r="I31" s="12"/>
    </row>
    <row r="32" spans="1:14" x14ac:dyDescent="0.4">
      <c r="A32" s="4" t="s">
        <v>13</v>
      </c>
      <c r="B32" s="12" t="s">
        <v>117</v>
      </c>
      <c r="C32" s="12"/>
      <c r="D32" s="12" t="s">
        <v>120</v>
      </c>
      <c r="E32" s="12" t="s">
        <v>122</v>
      </c>
      <c r="F32" s="12" t="s">
        <v>124</v>
      </c>
      <c r="G32" s="12" t="s">
        <v>126</v>
      </c>
      <c r="H32" s="12"/>
      <c r="J32" s="38" t="s">
        <v>28</v>
      </c>
      <c r="M32" s="4" t="s">
        <v>80</v>
      </c>
      <c r="N32" s="4" t="s">
        <v>81</v>
      </c>
    </row>
    <row r="33" spans="1:16" x14ac:dyDescent="0.4">
      <c r="B33" s="12"/>
      <c r="C33" s="12" t="s">
        <v>51</v>
      </c>
      <c r="D33" s="12">
        <f>+M37</f>
        <v>585</v>
      </c>
      <c r="E33" s="12">
        <f>+D33</f>
        <v>585</v>
      </c>
      <c r="F33" s="12">
        <f>+E33</f>
        <v>585</v>
      </c>
      <c r="G33" s="12">
        <f>+F33</f>
        <v>585</v>
      </c>
      <c r="H33" s="12"/>
      <c r="J33" s="12"/>
      <c r="K33" s="12"/>
      <c r="L33" s="12" t="s">
        <v>69</v>
      </c>
      <c r="M33" s="12" t="s">
        <v>51</v>
      </c>
      <c r="N33" s="12" t="s">
        <v>52</v>
      </c>
    </row>
    <row r="34" spans="1:16" x14ac:dyDescent="0.4">
      <c r="B34" s="12"/>
      <c r="C34" s="12" t="s">
        <v>52</v>
      </c>
      <c r="D34" s="12">
        <f>+L42-M42</f>
        <v>3941.9999999999991</v>
      </c>
      <c r="E34" s="12">
        <f>+M42-N42</f>
        <v>2215.404</v>
      </c>
      <c r="F34" s="12">
        <f>+N42-O42</f>
        <v>1245.0570480000003</v>
      </c>
      <c r="G34" s="12">
        <f>+O42-P42</f>
        <v>699.72206097600019</v>
      </c>
      <c r="H34" s="12"/>
      <c r="J34" s="12" t="s">
        <v>29</v>
      </c>
      <c r="K34" s="12"/>
      <c r="L34" s="12">
        <v>5000</v>
      </c>
      <c r="M34" s="12">
        <v>6500</v>
      </c>
      <c r="N34" s="12">
        <v>9000</v>
      </c>
    </row>
    <row r="35" spans="1:16" x14ac:dyDescent="0.4">
      <c r="B35" s="12"/>
      <c r="C35" s="12" t="s">
        <v>128</v>
      </c>
      <c r="D35" s="102">
        <f>+SUM(D33:D34)</f>
        <v>4526.9999999999991</v>
      </c>
      <c r="E35" s="102">
        <f>+SUM(E33:E34)</f>
        <v>2800.404</v>
      </c>
      <c r="F35" s="102">
        <f>+SUM(F33:F34)</f>
        <v>1830.0570480000003</v>
      </c>
      <c r="G35" s="102">
        <f>+SUM(G33:G34)</f>
        <v>1284.7220609760002</v>
      </c>
      <c r="H35" s="12"/>
      <c r="J35" s="12" t="s">
        <v>30</v>
      </c>
      <c r="K35" s="12"/>
      <c r="L35" s="12"/>
      <c r="M35" s="12">
        <v>650</v>
      </c>
      <c r="N35" s="12">
        <v>900</v>
      </c>
    </row>
    <row r="36" spans="1:16" x14ac:dyDescent="0.4">
      <c r="B36" s="12"/>
      <c r="C36" s="12"/>
      <c r="D36" s="12"/>
      <c r="E36" s="12"/>
      <c r="F36" s="12"/>
      <c r="G36" s="12"/>
      <c r="H36" s="12"/>
      <c r="J36" s="12" t="s">
        <v>31</v>
      </c>
      <c r="K36" s="12"/>
      <c r="L36" s="12"/>
      <c r="M36" s="12">
        <v>10</v>
      </c>
      <c r="N36" s="12">
        <v>4</v>
      </c>
    </row>
    <row r="37" spans="1:16" x14ac:dyDescent="0.4">
      <c r="A37" s="4" t="s">
        <v>14</v>
      </c>
      <c r="B37" s="12" t="s">
        <v>129</v>
      </c>
      <c r="C37" s="12"/>
      <c r="D37" s="12"/>
      <c r="E37" s="12"/>
      <c r="F37" s="12"/>
      <c r="G37" s="12"/>
      <c r="H37" s="12"/>
      <c r="J37" s="12" t="s">
        <v>32</v>
      </c>
      <c r="K37" s="12"/>
      <c r="L37" s="12"/>
      <c r="M37" s="102">
        <f>+(M34-M35)/M36</f>
        <v>585</v>
      </c>
      <c r="N37" s="12" t="s">
        <v>91</v>
      </c>
    </row>
    <row r="38" spans="1:16" x14ac:dyDescent="0.4">
      <c r="B38" s="12"/>
      <c r="C38" s="12"/>
      <c r="D38" s="12">
        <f>+SUM(D18:D21)</f>
        <v>5065.8</v>
      </c>
      <c r="E38" s="82">
        <f>+SUM(E18:E21)</f>
        <v>6001.1616000000004</v>
      </c>
      <c r="F38" s="12">
        <f>+SUM(F18:F21)</f>
        <v>4932.0228192000004</v>
      </c>
      <c r="G38" s="12">
        <f>+SUM(G18:G21)</f>
        <v>4023.8888243904003</v>
      </c>
      <c r="H38" s="12"/>
      <c r="J38" s="12" t="s">
        <v>96</v>
      </c>
      <c r="K38" s="12"/>
      <c r="L38" s="12"/>
      <c r="M38" s="12"/>
      <c r="N38" s="80">
        <v>0.56200000000000006</v>
      </c>
    </row>
    <row r="39" spans="1:16" x14ac:dyDescent="0.4">
      <c r="B39" s="12"/>
      <c r="C39" s="12"/>
      <c r="D39" s="12"/>
      <c r="E39" s="12"/>
      <c r="F39" s="12"/>
      <c r="G39" s="12"/>
      <c r="H39" s="12"/>
      <c r="J39" s="12"/>
      <c r="K39" s="12"/>
      <c r="L39" s="12"/>
      <c r="M39" s="12"/>
      <c r="N39" s="12"/>
    </row>
    <row r="40" spans="1:16" x14ac:dyDescent="0.4">
      <c r="A40" s="4" t="s">
        <v>132</v>
      </c>
      <c r="B40" s="12" t="s">
        <v>133</v>
      </c>
      <c r="C40" s="12"/>
      <c r="D40" s="12"/>
      <c r="E40" s="12"/>
      <c r="F40" s="12"/>
      <c r="G40" s="12"/>
      <c r="H40" s="12"/>
      <c r="J40" s="38" t="s">
        <v>140</v>
      </c>
    </row>
    <row r="41" spans="1:16" x14ac:dyDescent="0.4">
      <c r="B41" s="12"/>
      <c r="C41" s="97">
        <f>+SUM(L58:N58,L60:N60,P53)</f>
        <v>10642</v>
      </c>
      <c r="D41" s="12"/>
      <c r="E41" s="12"/>
      <c r="F41" s="12"/>
      <c r="G41" s="12"/>
      <c r="H41" s="12"/>
      <c r="J41" s="38"/>
      <c r="L41" s="4" t="s">
        <v>118</v>
      </c>
      <c r="M41" s="4" t="s">
        <v>120</v>
      </c>
      <c r="N41" s="4" t="s">
        <v>122</v>
      </c>
      <c r="O41" s="4" t="s">
        <v>124</v>
      </c>
      <c r="P41" s="4" t="s">
        <v>126</v>
      </c>
    </row>
    <row r="42" spans="1:16" x14ac:dyDescent="0.4">
      <c r="B42" s="12"/>
      <c r="C42" s="12"/>
      <c r="D42" s="12"/>
      <c r="E42" s="12"/>
      <c r="F42" s="12"/>
      <c r="G42" s="12"/>
      <c r="H42" s="12"/>
      <c r="L42" s="102">
        <f>+N34</f>
        <v>9000</v>
      </c>
      <c r="M42" s="102">
        <f>+L42*$N$38</f>
        <v>5058.0000000000009</v>
      </c>
      <c r="N42" s="102">
        <f>+M42*$N$38</f>
        <v>2842.5960000000009</v>
      </c>
      <c r="O42" s="102">
        <f>+N42*$N$38</f>
        <v>1597.5389520000006</v>
      </c>
      <c r="P42" s="102">
        <f>+O42*$N$38</f>
        <v>897.81689102400037</v>
      </c>
    </row>
    <row r="43" spans="1:16" x14ac:dyDescent="0.4">
      <c r="A43" s="4" t="s">
        <v>134</v>
      </c>
      <c r="B43" s="12" t="s">
        <v>135</v>
      </c>
      <c r="C43" s="12"/>
      <c r="D43" s="12"/>
      <c r="E43" s="12"/>
      <c r="F43" s="12"/>
      <c r="G43" s="12"/>
      <c r="H43" s="12"/>
      <c r="J43" s="12"/>
      <c r="K43" s="12"/>
      <c r="L43" s="12"/>
      <c r="M43" s="12"/>
      <c r="N43" s="12"/>
    </row>
    <row r="44" spans="1:16" x14ac:dyDescent="0.4">
      <c r="B44" s="98" t="s">
        <v>136</v>
      </c>
      <c r="C44" s="82">
        <f>+C26</f>
        <v>-663.81194051209422</v>
      </c>
      <c r="D44" s="12" t="s">
        <v>137</v>
      </c>
      <c r="E44" s="12"/>
      <c r="F44" s="12"/>
      <c r="G44" s="12"/>
      <c r="H44" s="12"/>
      <c r="J44" s="99" t="s">
        <v>111</v>
      </c>
      <c r="L44" s="12"/>
      <c r="M44" s="12"/>
      <c r="N44" s="12"/>
      <c r="O44" s="12"/>
      <c r="P44" s="12"/>
    </row>
    <row r="45" spans="1:16" x14ac:dyDescent="0.4">
      <c r="B45" s="12"/>
      <c r="C45" s="12"/>
      <c r="D45" s="12"/>
      <c r="E45" s="12"/>
      <c r="F45" s="12"/>
      <c r="G45" s="12"/>
      <c r="H45" s="12"/>
      <c r="M45" s="4">
        <v>7000</v>
      </c>
      <c r="N45" s="4">
        <v>7800</v>
      </c>
      <c r="O45" s="4">
        <v>7500</v>
      </c>
      <c r="P45" s="4">
        <v>6000</v>
      </c>
    </row>
    <row r="46" spans="1:16" x14ac:dyDescent="0.4">
      <c r="A46" s="4" t="s">
        <v>138</v>
      </c>
      <c r="B46" s="12" t="s">
        <v>139</v>
      </c>
      <c r="C46" s="12"/>
      <c r="D46" s="12"/>
      <c r="E46" s="12"/>
      <c r="F46" s="12"/>
      <c r="G46" s="12"/>
      <c r="H46" s="12"/>
      <c r="M46" s="23">
        <v>4.5</v>
      </c>
      <c r="N46" s="23">
        <v>4.5</v>
      </c>
      <c r="O46" s="23">
        <v>4</v>
      </c>
      <c r="P46" s="23">
        <v>3.5</v>
      </c>
    </row>
    <row r="47" spans="1:16" x14ac:dyDescent="0.4">
      <c r="B47" s="12"/>
      <c r="C47" s="92">
        <f>+IRR(C23:G23)</f>
        <v>6.8999444303876389E-2</v>
      </c>
      <c r="D47" s="12"/>
      <c r="E47" s="12"/>
      <c r="F47" s="12"/>
      <c r="G47" s="12"/>
      <c r="H47" s="12"/>
      <c r="M47" s="4">
        <f>+M45*M46</f>
        <v>31500</v>
      </c>
      <c r="N47" s="4">
        <f>+N45*N46</f>
        <v>35100</v>
      </c>
      <c r="O47" s="4">
        <f>+O45*O46</f>
        <v>30000</v>
      </c>
      <c r="P47" s="4">
        <f>+P45*P46</f>
        <v>21000</v>
      </c>
    </row>
    <row r="48" spans="1:16" x14ac:dyDescent="0.4">
      <c r="B48" s="12"/>
      <c r="C48" s="12"/>
      <c r="D48" s="12"/>
      <c r="E48" s="12"/>
      <c r="F48" s="12"/>
      <c r="G48" s="12"/>
      <c r="H48" s="12"/>
      <c r="J48" s="38" t="s">
        <v>114</v>
      </c>
    </row>
    <row r="49" spans="2:20" x14ac:dyDescent="0.4">
      <c r="B49" s="12"/>
      <c r="C49" s="12"/>
      <c r="D49" s="12"/>
      <c r="E49" s="12"/>
      <c r="F49" s="12"/>
      <c r="G49" s="12"/>
      <c r="J49" s="12" t="s">
        <v>65</v>
      </c>
      <c r="K49" s="91">
        <v>0.08</v>
      </c>
      <c r="L49" s="4">
        <f t="shared" ref="L49:O50" si="0">+M$47*$K49</f>
        <v>2520</v>
      </c>
      <c r="M49" s="4">
        <f t="shared" si="0"/>
        <v>2808</v>
      </c>
      <c r="N49" s="4">
        <f t="shared" si="0"/>
        <v>2400</v>
      </c>
      <c r="O49" s="4">
        <f t="shared" si="0"/>
        <v>1680</v>
      </c>
      <c r="P49" s="4">
        <v>0</v>
      </c>
    </row>
    <row r="50" spans="2:20" x14ac:dyDescent="0.4">
      <c r="B50" s="12"/>
      <c r="C50" s="12"/>
      <c r="D50" s="12"/>
      <c r="E50" s="12"/>
      <c r="F50" s="12"/>
      <c r="G50" s="12"/>
      <c r="J50" s="12" t="s">
        <v>66</v>
      </c>
      <c r="K50" s="91">
        <v>0.06</v>
      </c>
      <c r="L50" s="4">
        <f t="shared" si="0"/>
        <v>1890</v>
      </c>
      <c r="M50" s="4">
        <f t="shared" si="0"/>
        <v>2106</v>
      </c>
      <c r="N50" s="4">
        <f t="shared" si="0"/>
        <v>1800</v>
      </c>
      <c r="O50" s="4">
        <f t="shared" si="0"/>
        <v>1260</v>
      </c>
      <c r="P50" s="4">
        <v>0</v>
      </c>
    </row>
    <row r="51" spans="2:20" x14ac:dyDescent="0.4">
      <c r="J51" s="12" t="s">
        <v>67</v>
      </c>
      <c r="K51" s="91">
        <v>0.04</v>
      </c>
      <c r="L51" s="4">
        <f>-M$47*$K51</f>
        <v>-1260</v>
      </c>
      <c r="M51" s="4">
        <f>-N$47*$K51</f>
        <v>-1404</v>
      </c>
      <c r="N51" s="4">
        <f>-O$47*$K51</f>
        <v>-1200</v>
      </c>
      <c r="O51" s="4">
        <f>-P$47*$K51</f>
        <v>-840</v>
      </c>
      <c r="P51" s="4">
        <v>0</v>
      </c>
      <c r="S51" s="38"/>
    </row>
    <row r="52" spans="2:20" x14ac:dyDescent="0.4">
      <c r="J52" s="4" t="s">
        <v>115</v>
      </c>
      <c r="L52" s="4">
        <f>+SUM(L49:L51)</f>
        <v>3150</v>
      </c>
      <c r="M52" s="4">
        <f>+SUM(M49:M51)</f>
        <v>3510</v>
      </c>
      <c r="N52" s="4">
        <f>+SUM(N49:N51)</f>
        <v>3000</v>
      </c>
      <c r="O52" s="4">
        <f>+SUM(O49:O51)</f>
        <v>2100</v>
      </c>
      <c r="P52" s="4">
        <v>0</v>
      </c>
      <c r="S52" s="12"/>
      <c r="T52" s="12"/>
    </row>
    <row r="53" spans="2:20" x14ac:dyDescent="0.4">
      <c r="J53" s="4" t="s">
        <v>116</v>
      </c>
      <c r="L53" s="103">
        <f>-L52</f>
        <v>-3150</v>
      </c>
      <c r="M53" s="103">
        <f>-M52+L52</f>
        <v>-360</v>
      </c>
      <c r="N53" s="103">
        <f>-N52+M52</f>
        <v>510</v>
      </c>
      <c r="O53" s="103">
        <f>-O52+N52</f>
        <v>900</v>
      </c>
      <c r="P53" s="97">
        <f>-P52+O52</f>
        <v>2100</v>
      </c>
      <c r="S53" s="12"/>
      <c r="T53" s="91"/>
    </row>
    <row r="54" spans="2:20" x14ac:dyDescent="0.4">
      <c r="S54" s="12"/>
      <c r="T54" s="91"/>
    </row>
    <row r="55" spans="2:20" x14ac:dyDescent="0.4">
      <c r="J55" s="99" t="s">
        <v>68</v>
      </c>
      <c r="K55" s="12"/>
      <c r="L55" s="12"/>
      <c r="M55" s="12"/>
      <c r="N55" s="12"/>
      <c r="S55" s="12"/>
      <c r="T55" s="91"/>
    </row>
    <row r="56" spans="2:20" x14ac:dyDescent="0.4">
      <c r="J56" s="12"/>
      <c r="K56" s="12"/>
      <c r="L56" s="63" t="s">
        <v>69</v>
      </c>
      <c r="M56" s="12" t="s">
        <v>51</v>
      </c>
      <c r="N56" s="12" t="s">
        <v>52</v>
      </c>
    </row>
    <row r="57" spans="2:20" x14ac:dyDescent="0.4">
      <c r="J57" s="12" t="s">
        <v>70</v>
      </c>
      <c r="K57" s="12"/>
      <c r="L57" s="63">
        <f>+L34</f>
        <v>5000</v>
      </c>
      <c r="M57" s="63">
        <f>+M34-M37*4</f>
        <v>4160</v>
      </c>
      <c r="N57" s="12">
        <v>900</v>
      </c>
    </row>
    <row r="58" spans="2:20" x14ac:dyDescent="0.4">
      <c r="J58" s="12" t="s">
        <v>71</v>
      </c>
      <c r="K58" s="12"/>
      <c r="L58" s="104">
        <f>+L57</f>
        <v>5000</v>
      </c>
      <c r="M58" s="104">
        <f>+M57*0.5</f>
        <v>2080</v>
      </c>
      <c r="N58" s="104">
        <f>+N57*0.5</f>
        <v>450</v>
      </c>
    </row>
    <row r="59" spans="2:20" x14ac:dyDescent="0.4">
      <c r="J59" s="12" t="s">
        <v>72</v>
      </c>
      <c r="K59" s="12"/>
      <c r="L59" s="63">
        <f>+L58-L57</f>
        <v>0</v>
      </c>
      <c r="M59" s="63">
        <f>+M58-M57</f>
        <v>-2080</v>
      </c>
      <c r="N59" s="63">
        <f>+N58-N57</f>
        <v>-450</v>
      </c>
    </row>
    <row r="60" spans="2:20" x14ac:dyDescent="0.4">
      <c r="J60" s="12" t="s">
        <v>73</v>
      </c>
      <c r="K60" s="12"/>
      <c r="L60" s="104">
        <f>-L59*0.4</f>
        <v>0</v>
      </c>
      <c r="M60" s="104">
        <f>-M59*0.4</f>
        <v>832</v>
      </c>
      <c r="N60" s="104">
        <f>-N59*0.4</f>
        <v>180</v>
      </c>
    </row>
  </sheetData>
  <phoneticPr fontId="3"/>
  <pageMargins left="0.25" right="0.25" top="0.75" bottom="0.75" header="0.3" footer="0.3"/>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9" x14ac:dyDescent="0.4">
      <c r="A1" s="1" t="s">
        <v>302</v>
      </c>
      <c r="B1" s="2"/>
      <c r="C1" s="2"/>
      <c r="D1" s="2"/>
      <c r="E1" s="2"/>
      <c r="F1" s="2"/>
      <c r="G1" s="2"/>
      <c r="H1" s="2"/>
      <c r="I1" s="2"/>
      <c r="J1" s="2"/>
      <c r="K1" s="2"/>
      <c r="L1" s="2"/>
      <c r="M1" s="2"/>
      <c r="N1" s="2"/>
      <c r="O1" s="2"/>
      <c r="P1" s="2"/>
      <c r="Q1" s="3"/>
    </row>
    <row r="2" spans="1:19" x14ac:dyDescent="0.4">
      <c r="A2" s="5" t="s">
        <v>311</v>
      </c>
      <c r="B2" s="6"/>
      <c r="C2" s="6"/>
      <c r="D2" s="6"/>
      <c r="E2" s="6"/>
      <c r="F2" s="6"/>
      <c r="G2" s="6"/>
      <c r="H2" s="6"/>
      <c r="I2" s="6"/>
      <c r="J2" s="6"/>
      <c r="K2" s="6"/>
      <c r="L2" s="6"/>
      <c r="M2" s="6"/>
      <c r="N2" s="6"/>
      <c r="O2" s="6"/>
      <c r="P2" s="6"/>
      <c r="Q2" s="7"/>
    </row>
    <row r="3" spans="1:19" x14ac:dyDescent="0.4">
      <c r="A3" s="8" t="s">
        <v>152</v>
      </c>
      <c r="B3" s="9"/>
      <c r="C3" s="9"/>
      <c r="D3" s="9"/>
      <c r="E3" s="9"/>
      <c r="F3" s="9"/>
      <c r="G3" s="9"/>
      <c r="H3" s="9"/>
      <c r="I3" s="9"/>
      <c r="J3" s="9"/>
      <c r="K3" s="9"/>
      <c r="L3" s="9"/>
      <c r="M3" s="9"/>
      <c r="N3" s="9"/>
      <c r="O3" s="9"/>
      <c r="P3" s="9"/>
      <c r="Q3" s="10"/>
    </row>
    <row r="4" spans="1:19" s="12" customFormat="1" x14ac:dyDescent="0.4">
      <c r="A4" s="11"/>
      <c r="B4" s="11"/>
      <c r="C4" s="11"/>
      <c r="D4" s="11"/>
      <c r="E4" s="11"/>
      <c r="F4" s="11"/>
      <c r="G4" s="11"/>
      <c r="H4" s="11"/>
      <c r="I4" s="11"/>
      <c r="J4" s="11"/>
      <c r="K4" s="11"/>
      <c r="L4" s="11"/>
      <c r="M4" s="11"/>
      <c r="N4" s="11"/>
      <c r="O4" s="11"/>
      <c r="P4" s="11"/>
      <c r="Q4" s="11"/>
    </row>
    <row r="5" spans="1:19" ht="18" customHeight="1" x14ac:dyDescent="0.4">
      <c r="A5" s="13" t="s">
        <v>0</v>
      </c>
      <c r="B5" s="14"/>
      <c r="C5" s="14"/>
      <c r="D5" s="14"/>
      <c r="E5" s="14"/>
      <c r="F5" s="14"/>
      <c r="G5" s="14"/>
      <c r="H5" s="14"/>
      <c r="I5" s="14"/>
      <c r="J5" s="14"/>
      <c r="K5" s="14"/>
      <c r="L5" s="14"/>
      <c r="M5" s="14"/>
      <c r="N5" s="14"/>
      <c r="O5" s="14"/>
      <c r="P5" s="14"/>
      <c r="Q5" s="14"/>
      <c r="R5" s="15"/>
    </row>
    <row r="6" spans="1:19" x14ac:dyDescent="0.4">
      <c r="A6" s="16" t="s">
        <v>153</v>
      </c>
      <c r="B6" s="17"/>
      <c r="C6" s="17"/>
      <c r="D6" s="17"/>
      <c r="E6" s="17"/>
      <c r="F6" s="17"/>
      <c r="G6" s="17"/>
      <c r="H6" s="17"/>
      <c r="I6" s="17"/>
      <c r="J6" s="17"/>
      <c r="K6" s="17"/>
      <c r="L6" s="17"/>
      <c r="M6" s="17"/>
      <c r="N6" s="17"/>
      <c r="O6" s="17"/>
      <c r="P6" s="17"/>
      <c r="Q6" s="17"/>
      <c r="R6" s="18"/>
    </row>
    <row r="7" spans="1:19" x14ac:dyDescent="0.4">
      <c r="A7" s="19" t="s">
        <v>186</v>
      </c>
      <c r="B7" s="20"/>
      <c r="C7" s="20"/>
      <c r="D7" s="20"/>
      <c r="E7" s="20"/>
      <c r="F7" s="20"/>
      <c r="G7" s="20"/>
      <c r="H7" s="20"/>
      <c r="I7" s="46"/>
      <c r="J7" s="20"/>
      <c r="K7" s="20"/>
      <c r="L7" s="20"/>
      <c r="M7" s="20"/>
      <c r="N7" s="20"/>
      <c r="O7" s="20"/>
      <c r="P7" s="20"/>
      <c r="Q7" s="20"/>
      <c r="R7" s="21"/>
    </row>
    <row r="8" spans="1:19" s="12" customFormat="1" ht="17.25" customHeight="1" x14ac:dyDescent="0.4">
      <c r="B8" s="22"/>
      <c r="C8" s="22"/>
      <c r="D8" s="22"/>
      <c r="E8" s="22"/>
      <c r="F8" s="22"/>
      <c r="G8" s="22"/>
      <c r="H8" s="22"/>
      <c r="I8" s="22"/>
      <c r="J8" s="22"/>
      <c r="K8" s="22"/>
      <c r="L8" s="22"/>
      <c r="M8" s="22"/>
      <c r="N8" s="22"/>
      <c r="O8" s="22"/>
      <c r="P8" s="22"/>
      <c r="Q8" s="22"/>
      <c r="R8" s="22"/>
      <c r="S8" s="22"/>
    </row>
    <row r="9" spans="1:19" x14ac:dyDescent="0.4">
      <c r="A9" s="4" t="s">
        <v>154</v>
      </c>
    </row>
    <row r="10" spans="1:19" x14ac:dyDescent="0.4">
      <c r="B10" s="24" t="s">
        <v>163</v>
      </c>
      <c r="C10" s="25" t="s">
        <v>156</v>
      </c>
      <c r="D10" s="25" t="s">
        <v>155</v>
      </c>
      <c r="E10" s="25" t="s">
        <v>62</v>
      </c>
      <c r="F10" s="25" t="s">
        <v>63</v>
      </c>
      <c r="G10" s="25" t="s">
        <v>64</v>
      </c>
      <c r="H10" s="25" t="s">
        <v>157</v>
      </c>
      <c r="I10" s="112" t="s">
        <v>158</v>
      </c>
      <c r="J10" s="113" t="s">
        <v>159</v>
      </c>
      <c r="K10" s="113" t="s">
        <v>160</v>
      </c>
      <c r="L10" s="117" t="s">
        <v>161</v>
      </c>
    </row>
    <row r="11" spans="1:19" x14ac:dyDescent="0.4">
      <c r="C11" s="27"/>
      <c r="D11" s="27"/>
      <c r="E11" s="27"/>
      <c r="F11" s="27"/>
      <c r="G11" s="27"/>
      <c r="H11" s="27"/>
      <c r="I11" s="114"/>
      <c r="J11" s="115"/>
      <c r="K11" s="115"/>
      <c r="L11" s="116"/>
    </row>
    <row r="12" spans="1:19" x14ac:dyDescent="0.4">
      <c r="A12" s="4" t="s">
        <v>162</v>
      </c>
      <c r="B12" s="4">
        <v>10000</v>
      </c>
      <c r="H12" s="4">
        <f>+B12-(B12-L12)/10*6</f>
        <v>4600</v>
      </c>
      <c r="L12" s="4">
        <v>1000</v>
      </c>
    </row>
    <row r="13" spans="1:19" x14ac:dyDescent="0.4">
      <c r="G13" s="4" t="s">
        <v>71</v>
      </c>
      <c r="H13" s="4">
        <v>2000</v>
      </c>
      <c r="L13" s="4">
        <v>400</v>
      </c>
      <c r="M13" s="4" t="s">
        <v>180</v>
      </c>
    </row>
    <row r="14" spans="1:19" x14ac:dyDescent="0.4">
      <c r="G14" s="4" t="s">
        <v>164</v>
      </c>
      <c r="H14" s="4">
        <f>+H13-H12</f>
        <v>-2600</v>
      </c>
      <c r="L14" s="4">
        <f>+L13-L12</f>
        <v>-600</v>
      </c>
    </row>
    <row r="15" spans="1:19" x14ac:dyDescent="0.4">
      <c r="G15" s="4" t="s">
        <v>165</v>
      </c>
      <c r="H15" s="4">
        <f>-H14*0.4</f>
        <v>1040</v>
      </c>
      <c r="L15" s="4">
        <f>-L14*0.4</f>
        <v>240</v>
      </c>
    </row>
    <row r="17" spans="1:13" x14ac:dyDescent="0.4">
      <c r="A17" s="4" t="s">
        <v>166</v>
      </c>
      <c r="H17" s="24" t="s">
        <v>163</v>
      </c>
      <c r="I17" s="25" t="s">
        <v>156</v>
      </c>
      <c r="J17" s="24" t="s">
        <v>61</v>
      </c>
      <c r="K17" s="25" t="s">
        <v>62</v>
      </c>
      <c r="L17" s="24" t="s">
        <v>63</v>
      </c>
    </row>
    <row r="18" spans="1:13" x14ac:dyDescent="0.4">
      <c r="H18" s="26"/>
      <c r="I18" s="27"/>
      <c r="J18" s="27"/>
      <c r="K18" s="27"/>
      <c r="L18" s="30"/>
    </row>
    <row r="19" spans="1:13" x14ac:dyDescent="0.4">
      <c r="G19" s="118" t="s">
        <v>162</v>
      </c>
      <c r="H19" s="4">
        <v>6000</v>
      </c>
      <c r="L19" s="4">
        <v>600</v>
      </c>
    </row>
    <row r="20" spans="1:13" x14ac:dyDescent="0.4">
      <c r="K20" s="4" t="s">
        <v>71</v>
      </c>
      <c r="L20" s="4">
        <f>+L19+200</f>
        <v>800</v>
      </c>
    </row>
    <row r="21" spans="1:13" x14ac:dyDescent="0.4">
      <c r="K21" s="4" t="s">
        <v>167</v>
      </c>
      <c r="L21" s="4">
        <f>+L20-L19</f>
        <v>200</v>
      </c>
    </row>
    <row r="22" spans="1:13" x14ac:dyDescent="0.4">
      <c r="F22" s="4" t="s">
        <v>176</v>
      </c>
      <c r="K22" s="4" t="s">
        <v>168</v>
      </c>
      <c r="L22" s="4">
        <f>-L21*0.4</f>
        <v>-80</v>
      </c>
    </row>
    <row r="23" spans="1:13" x14ac:dyDescent="0.4">
      <c r="G23" s="4" t="s">
        <v>171</v>
      </c>
      <c r="H23" s="4">
        <f>+H13</f>
        <v>2000</v>
      </c>
    </row>
    <row r="24" spans="1:13" x14ac:dyDescent="0.4">
      <c r="G24" s="4" t="s">
        <v>172</v>
      </c>
      <c r="H24" s="4">
        <f>-H19</f>
        <v>-6000</v>
      </c>
    </row>
    <row r="25" spans="1:13" x14ac:dyDescent="0.4">
      <c r="G25" s="4" t="s">
        <v>177</v>
      </c>
      <c r="I25" s="4">
        <v>-2400</v>
      </c>
      <c r="J25" s="4">
        <f>+I25</f>
        <v>-2400</v>
      </c>
      <c r="K25" s="4">
        <f>+J25</f>
        <v>-2400</v>
      </c>
      <c r="L25" s="4">
        <f>+K25</f>
        <v>-2400</v>
      </c>
    </row>
    <row r="26" spans="1:13" x14ac:dyDescent="0.4">
      <c r="G26" s="4" t="s">
        <v>174</v>
      </c>
      <c r="L26" s="4">
        <f>+L20</f>
        <v>800</v>
      </c>
    </row>
    <row r="27" spans="1:13" x14ac:dyDescent="0.4">
      <c r="G27" s="4" t="s">
        <v>175</v>
      </c>
      <c r="H27" s="4">
        <f>+SUM(H23:H26)</f>
        <v>-4000</v>
      </c>
      <c r="I27" s="4">
        <f>+SUM(I23:I26)</f>
        <v>-2400</v>
      </c>
      <c r="J27" s="4">
        <f>+SUM(J23:J26)</f>
        <v>-2400</v>
      </c>
      <c r="K27" s="4">
        <f>+SUM(K23:K26)</f>
        <v>-2400</v>
      </c>
      <c r="L27" s="4">
        <f>+SUM(L23:L26)</f>
        <v>-1600</v>
      </c>
    </row>
    <row r="28" spans="1:13" x14ac:dyDescent="0.4">
      <c r="G28" s="4" t="s">
        <v>9</v>
      </c>
      <c r="H28" s="4">
        <f>+H27</f>
        <v>-4000</v>
      </c>
      <c r="I28" s="4">
        <f>+I27*I30</f>
        <v>-2142.96</v>
      </c>
      <c r="J28" s="4">
        <f>+J27*J30</f>
        <v>-1913.28</v>
      </c>
      <c r="K28" s="4">
        <f>+K27*K30</f>
        <v>-1708.32</v>
      </c>
      <c r="L28" s="4">
        <f>+L27*L30</f>
        <v>-1016.8</v>
      </c>
    </row>
    <row r="29" spans="1:13" x14ac:dyDescent="0.4">
      <c r="G29" s="4" t="s">
        <v>169</v>
      </c>
      <c r="I29" s="245">
        <f>+SUM(I30:L30)</f>
        <v>3.0374000000000003</v>
      </c>
      <c r="J29" s="246"/>
      <c r="K29" s="246"/>
      <c r="L29" s="247"/>
      <c r="M29" s="4" t="s">
        <v>170</v>
      </c>
    </row>
    <row r="30" spans="1:13" x14ac:dyDescent="0.4">
      <c r="G30" s="4" t="s">
        <v>1</v>
      </c>
      <c r="I30" s="119">
        <v>0.89290000000000003</v>
      </c>
      <c r="J30" s="119">
        <v>0.79720000000000002</v>
      </c>
      <c r="K30" s="119">
        <v>0.71179999999999999</v>
      </c>
      <c r="L30" s="119">
        <v>0.63549999999999995</v>
      </c>
    </row>
    <row r="31" spans="1:13" x14ac:dyDescent="0.4">
      <c r="G31" s="4" t="s">
        <v>79</v>
      </c>
      <c r="H31" s="82">
        <f>+SUM(H28:L28)</f>
        <v>-10781.359999999999</v>
      </c>
    </row>
    <row r="33" spans="6:12" x14ac:dyDescent="0.4">
      <c r="F33" s="4" t="s">
        <v>178</v>
      </c>
    </row>
    <row r="34" spans="6:12" x14ac:dyDescent="0.4">
      <c r="G34" s="4" t="s">
        <v>171</v>
      </c>
      <c r="H34" s="4">
        <f>+H13+H15</f>
        <v>3040</v>
      </c>
    </row>
    <row r="35" spans="6:12" x14ac:dyDescent="0.4">
      <c r="G35" s="4" t="s">
        <v>172</v>
      </c>
      <c r="H35" s="4">
        <f>-H19</f>
        <v>-6000</v>
      </c>
    </row>
    <row r="36" spans="6:12" x14ac:dyDescent="0.4">
      <c r="G36" s="4" t="s">
        <v>177</v>
      </c>
      <c r="I36" s="4">
        <f>+I27*0.6</f>
        <v>-1440</v>
      </c>
      <c r="J36" s="4">
        <f t="shared" ref="J36:L37" si="0">+I36</f>
        <v>-1440</v>
      </c>
      <c r="K36" s="4">
        <f t="shared" si="0"/>
        <v>-1440</v>
      </c>
      <c r="L36" s="4">
        <f t="shared" si="0"/>
        <v>-1440</v>
      </c>
    </row>
    <row r="37" spans="6:12" x14ac:dyDescent="0.4">
      <c r="G37" s="4" t="s">
        <v>173</v>
      </c>
      <c r="I37" s="4">
        <f>+(H19-L19)/4*0.4</f>
        <v>540</v>
      </c>
      <c r="J37" s="4">
        <f t="shared" si="0"/>
        <v>540</v>
      </c>
      <c r="K37" s="4">
        <f t="shared" si="0"/>
        <v>540</v>
      </c>
      <c r="L37" s="4">
        <f t="shared" si="0"/>
        <v>540</v>
      </c>
    </row>
    <row r="38" spans="6:12" x14ac:dyDescent="0.4">
      <c r="G38" s="4" t="s">
        <v>174</v>
      </c>
      <c r="L38" s="4">
        <f>+SUM(L20,L22)</f>
        <v>720</v>
      </c>
    </row>
    <row r="39" spans="6:12" x14ac:dyDescent="0.4">
      <c r="G39" s="4" t="s">
        <v>175</v>
      </c>
      <c r="H39" s="4">
        <f>+SUM(H34:H38)</f>
        <v>-2960</v>
      </c>
      <c r="I39" s="4">
        <f>+SUM(I34:I38)</f>
        <v>-900</v>
      </c>
      <c r="J39" s="4">
        <f>+SUM(J34:J38)</f>
        <v>-900</v>
      </c>
      <c r="K39" s="4">
        <f>+SUM(K34:K38)</f>
        <v>-900</v>
      </c>
      <c r="L39" s="4">
        <f>+SUM(L34:L38)</f>
        <v>-180</v>
      </c>
    </row>
    <row r="40" spans="6:12" x14ac:dyDescent="0.4">
      <c r="G40" s="4" t="s">
        <v>9</v>
      </c>
      <c r="H40" s="4">
        <f>+H39</f>
        <v>-2960</v>
      </c>
      <c r="I40" s="4">
        <f>+I39*I30</f>
        <v>-803.61</v>
      </c>
      <c r="J40" s="4">
        <f>+J39*J30</f>
        <v>-717.48</v>
      </c>
      <c r="K40" s="4">
        <f>+K39*K30</f>
        <v>-640.62</v>
      </c>
      <c r="L40" s="4">
        <f>+L39*L30</f>
        <v>-114.38999999999999</v>
      </c>
    </row>
    <row r="41" spans="6:12" x14ac:dyDescent="0.4">
      <c r="G41" s="4" t="s">
        <v>79</v>
      </c>
      <c r="H41" s="82">
        <f>+SUM(H40:L40)</f>
        <v>-5236.1000000000004</v>
      </c>
    </row>
    <row r="43" spans="6:12" x14ac:dyDescent="0.4">
      <c r="F43" s="4" t="s">
        <v>179</v>
      </c>
    </row>
    <row r="44" spans="6:12" x14ac:dyDescent="0.4">
      <c r="G44" s="4" t="s">
        <v>171</v>
      </c>
      <c r="H44" s="4">
        <v>0</v>
      </c>
      <c r="L44" s="4">
        <f>+SUM(L13,L15)</f>
        <v>640</v>
      </c>
    </row>
    <row r="45" spans="6:12" x14ac:dyDescent="0.4">
      <c r="G45" s="4" t="s">
        <v>172</v>
      </c>
      <c r="H45" s="4">
        <v>0</v>
      </c>
    </row>
    <row r="46" spans="6:12" x14ac:dyDescent="0.4">
      <c r="G46" s="4" t="s">
        <v>177</v>
      </c>
      <c r="I46" s="4">
        <f>-4600*0.6</f>
        <v>-2760</v>
      </c>
      <c r="J46" s="4">
        <f t="shared" ref="J46:L47" si="1">+I46</f>
        <v>-2760</v>
      </c>
      <c r="K46" s="4">
        <f t="shared" si="1"/>
        <v>-2760</v>
      </c>
      <c r="L46" s="4">
        <f t="shared" si="1"/>
        <v>-2760</v>
      </c>
    </row>
    <row r="47" spans="6:12" x14ac:dyDescent="0.4">
      <c r="G47" s="4" t="s">
        <v>173</v>
      </c>
      <c r="I47" s="4">
        <f>+(B12-L12)/10*0.4</f>
        <v>360</v>
      </c>
      <c r="J47" s="4">
        <f t="shared" si="1"/>
        <v>360</v>
      </c>
      <c r="K47" s="4">
        <f t="shared" si="1"/>
        <v>360</v>
      </c>
      <c r="L47" s="4">
        <f t="shared" si="1"/>
        <v>360</v>
      </c>
    </row>
    <row r="48" spans="6:12" x14ac:dyDescent="0.4">
      <c r="G48" s="4" t="s">
        <v>174</v>
      </c>
      <c r="L48" s="4">
        <v>0</v>
      </c>
    </row>
    <row r="49" spans="6:12" x14ac:dyDescent="0.4">
      <c r="G49" s="4" t="s">
        <v>175</v>
      </c>
      <c r="I49" s="4">
        <f>+SUM(I44:I48)</f>
        <v>-2400</v>
      </c>
      <c r="J49" s="4">
        <f>+SUM(J44:J48)</f>
        <v>-2400</v>
      </c>
      <c r="K49" s="4">
        <f>+SUM(K44:K48)</f>
        <v>-2400</v>
      </c>
      <c r="L49" s="4">
        <f>+SUM(L44:L48)</f>
        <v>-1760</v>
      </c>
    </row>
    <row r="50" spans="6:12" x14ac:dyDescent="0.4">
      <c r="G50" s="4" t="s">
        <v>9</v>
      </c>
      <c r="I50" s="4">
        <f>+I49*I30</f>
        <v>-2142.96</v>
      </c>
      <c r="J50" s="4">
        <f>+J49*J30</f>
        <v>-1913.28</v>
      </c>
      <c r="K50" s="4">
        <f>+K49*K30</f>
        <v>-1708.32</v>
      </c>
      <c r="L50" s="4">
        <f>+L49*L30</f>
        <v>-1118.48</v>
      </c>
    </row>
    <row r="51" spans="6:12" x14ac:dyDescent="0.4">
      <c r="G51" s="4" t="s">
        <v>79</v>
      </c>
      <c r="H51" s="82">
        <f>+SUM(H50:L50)</f>
        <v>-6883.0399999999991</v>
      </c>
    </row>
    <row r="53" spans="6:12" x14ac:dyDescent="0.4">
      <c r="F53" s="4" t="s">
        <v>181</v>
      </c>
    </row>
    <row r="54" spans="6:12" x14ac:dyDescent="0.4">
      <c r="G54" s="4" t="s">
        <v>182</v>
      </c>
      <c r="H54" s="4">
        <f>+H41-H51</f>
        <v>1646.9399999999987</v>
      </c>
      <c r="I54" s="4" t="s">
        <v>183</v>
      </c>
    </row>
    <row r="56" spans="6:12" x14ac:dyDescent="0.4">
      <c r="F56" s="4" t="s">
        <v>184</v>
      </c>
    </row>
    <row r="57" spans="6:12" x14ac:dyDescent="0.4">
      <c r="H57" s="4" t="s">
        <v>185</v>
      </c>
    </row>
  </sheetData>
  <mergeCells count="1">
    <mergeCell ref="I29:L29"/>
  </mergeCells>
  <phoneticPr fontId="3"/>
  <pageMargins left="0.25" right="0.25" top="0.75" bottom="0.75" header="0.3" footer="0.3"/>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topLeftCell="A13"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28" x14ac:dyDescent="0.4">
      <c r="A1" s="1" t="s">
        <v>302</v>
      </c>
      <c r="B1" s="2"/>
      <c r="C1" s="2"/>
      <c r="D1" s="2"/>
      <c r="E1" s="2"/>
      <c r="F1" s="2"/>
      <c r="G1" s="2"/>
      <c r="H1" s="2"/>
      <c r="I1" s="2"/>
      <c r="J1" s="2"/>
      <c r="K1" s="2"/>
      <c r="L1" s="2"/>
      <c r="M1" s="2"/>
      <c r="N1" s="2"/>
      <c r="O1" s="2"/>
      <c r="P1" s="2"/>
      <c r="Q1" s="3"/>
    </row>
    <row r="2" spans="1:28" x14ac:dyDescent="0.4">
      <c r="A2" s="5" t="s">
        <v>304</v>
      </c>
      <c r="B2" s="6"/>
      <c r="C2" s="6"/>
      <c r="D2" s="6"/>
      <c r="E2" s="6"/>
      <c r="F2" s="6"/>
      <c r="G2" s="6"/>
      <c r="H2" s="6"/>
      <c r="I2" s="6"/>
      <c r="J2" s="6"/>
      <c r="K2" s="6"/>
      <c r="L2" s="6"/>
      <c r="M2" s="6"/>
      <c r="N2" s="6"/>
      <c r="O2" s="6"/>
      <c r="P2" s="6"/>
      <c r="Q2" s="7"/>
    </row>
    <row r="3" spans="1:28" x14ac:dyDescent="0.4">
      <c r="A3" s="8" t="s">
        <v>589</v>
      </c>
      <c r="B3" s="9"/>
      <c r="C3" s="9"/>
      <c r="D3" s="9"/>
      <c r="E3" s="9"/>
      <c r="F3" s="9"/>
      <c r="G3" s="9"/>
      <c r="H3" s="9"/>
      <c r="I3" s="9"/>
      <c r="J3" s="9"/>
      <c r="K3" s="9"/>
      <c r="L3" s="9"/>
      <c r="M3" s="9"/>
      <c r="N3" s="9"/>
      <c r="O3" s="9"/>
      <c r="P3" s="9"/>
      <c r="Q3" s="10"/>
    </row>
    <row r="4" spans="1:28" s="12" customFormat="1" x14ac:dyDescent="0.4">
      <c r="A4" s="11"/>
      <c r="B4" s="11"/>
      <c r="C4" s="11"/>
      <c r="D4" s="11"/>
      <c r="E4" s="11"/>
      <c r="F4" s="11"/>
      <c r="G4" s="11"/>
      <c r="H4" s="11"/>
      <c r="I4" s="11"/>
      <c r="J4" s="11"/>
      <c r="K4" s="11"/>
      <c r="L4" s="11"/>
      <c r="M4" s="11"/>
      <c r="N4" s="11"/>
      <c r="O4" s="11"/>
      <c r="P4" s="11"/>
      <c r="Q4" s="11"/>
    </row>
    <row r="5" spans="1:28" ht="18" customHeight="1" x14ac:dyDescent="0.4">
      <c r="A5" s="13" t="s">
        <v>0</v>
      </c>
      <c r="B5" s="14"/>
      <c r="C5" s="14"/>
      <c r="D5" s="14"/>
      <c r="E5" s="14"/>
      <c r="F5" s="14"/>
      <c r="G5" s="14"/>
      <c r="H5" s="14"/>
      <c r="I5" s="14"/>
      <c r="J5" s="14"/>
      <c r="K5" s="14"/>
      <c r="L5" s="14"/>
      <c r="M5" s="14"/>
      <c r="N5" s="14"/>
      <c r="O5" s="14"/>
      <c r="P5" s="14"/>
      <c r="Q5" s="14"/>
      <c r="R5" s="15"/>
    </row>
    <row r="6" spans="1:28" x14ac:dyDescent="0.4">
      <c r="A6" s="16" t="s">
        <v>153</v>
      </c>
      <c r="B6" s="17"/>
      <c r="C6" s="17"/>
      <c r="D6" s="17"/>
      <c r="E6" s="17"/>
      <c r="F6" s="17"/>
      <c r="G6" s="17"/>
      <c r="H6" s="17"/>
      <c r="I6" s="17"/>
      <c r="J6" s="17"/>
      <c r="K6" s="17"/>
      <c r="L6" s="17"/>
      <c r="M6" s="17"/>
      <c r="N6" s="17"/>
      <c r="O6" s="17"/>
      <c r="P6" s="17"/>
      <c r="Q6" s="17"/>
      <c r="R6" s="18"/>
    </row>
    <row r="7" spans="1:28" x14ac:dyDescent="0.4">
      <c r="A7" s="19" t="s">
        <v>186</v>
      </c>
      <c r="B7" s="20"/>
      <c r="C7" s="20"/>
      <c r="D7" s="20"/>
      <c r="E7" s="20"/>
      <c r="F7" s="20"/>
      <c r="G7" s="20"/>
      <c r="H7" s="20"/>
      <c r="I7" s="46"/>
      <c r="J7" s="20"/>
      <c r="K7" s="20"/>
      <c r="L7" s="20"/>
      <c r="M7" s="20"/>
      <c r="N7" s="20"/>
      <c r="O7" s="20"/>
      <c r="P7" s="20"/>
      <c r="Q7" s="20"/>
      <c r="R7" s="21"/>
    </row>
    <row r="8" spans="1:28" s="12" customFormat="1" ht="17.25" customHeight="1" x14ac:dyDescent="0.4">
      <c r="C8" s="22"/>
      <c r="D8" s="22"/>
      <c r="E8" s="22"/>
      <c r="F8" s="22"/>
      <c r="G8" s="22"/>
      <c r="H8" s="22"/>
      <c r="I8" s="22"/>
      <c r="J8" s="22"/>
      <c r="K8" s="22"/>
      <c r="L8" s="22"/>
      <c r="M8" s="22"/>
      <c r="N8" s="22"/>
      <c r="O8" s="22"/>
      <c r="P8" s="22"/>
      <c r="Q8" s="22"/>
      <c r="R8" s="22"/>
      <c r="S8" s="22"/>
      <c r="T8" s="22"/>
    </row>
    <row r="9" spans="1:28" s="12" customFormat="1" ht="17.25" customHeight="1" x14ac:dyDescent="0.4">
      <c r="A9" s="12" t="s">
        <v>590</v>
      </c>
      <c r="B9" s="22"/>
      <c r="C9" s="22"/>
      <c r="D9" s="22"/>
      <c r="E9" s="22"/>
      <c r="F9" s="22"/>
      <c r="G9" s="22"/>
      <c r="I9" s="12" t="s">
        <v>206</v>
      </c>
      <c r="J9" s="22"/>
      <c r="K9" s="22"/>
      <c r="L9" s="22"/>
      <c r="M9" s="22"/>
      <c r="N9" s="22"/>
      <c r="O9" s="22"/>
      <c r="P9" s="22"/>
      <c r="Q9" s="22"/>
      <c r="R9" s="22"/>
      <c r="S9" s="22"/>
      <c r="T9" s="22"/>
      <c r="U9" s="22"/>
      <c r="V9" s="22"/>
      <c r="W9" s="22"/>
      <c r="X9" s="22"/>
      <c r="Y9" s="22"/>
      <c r="Z9" s="22"/>
      <c r="AA9" s="22"/>
    </row>
    <row r="10" spans="1:28" s="12" customFormat="1" ht="17.25" customHeight="1" x14ac:dyDescent="0.4">
      <c r="C10" s="22"/>
      <c r="D10" s="22"/>
      <c r="E10" s="22"/>
      <c r="F10" s="22"/>
      <c r="G10" s="22"/>
      <c r="H10" s="22"/>
      <c r="K10" s="22"/>
      <c r="L10" s="22"/>
      <c r="M10" s="22"/>
      <c r="N10" s="22"/>
      <c r="O10" s="22"/>
      <c r="P10" s="22"/>
      <c r="Q10" s="22"/>
      <c r="R10" s="22"/>
      <c r="S10" s="22"/>
      <c r="T10" s="22"/>
      <c r="U10" s="22"/>
      <c r="V10" s="22"/>
      <c r="W10" s="22"/>
      <c r="X10" s="22"/>
      <c r="Y10" s="22"/>
      <c r="Z10" s="22"/>
      <c r="AA10" s="22"/>
      <c r="AB10" s="22"/>
    </row>
    <row r="11" spans="1:28" x14ac:dyDescent="0.4">
      <c r="B11" s="4" t="s">
        <v>188</v>
      </c>
      <c r="C11" s="4" t="s">
        <v>200</v>
      </c>
      <c r="J11" s="4" t="s">
        <v>188</v>
      </c>
      <c r="K11" s="4" t="s">
        <v>200</v>
      </c>
    </row>
    <row r="13" spans="1:28" x14ac:dyDescent="0.4">
      <c r="C13" s="25" t="s">
        <v>586</v>
      </c>
      <c r="D13" s="25" t="s">
        <v>163</v>
      </c>
      <c r="E13" s="25" t="s">
        <v>156</v>
      </c>
      <c r="F13" s="25" t="s">
        <v>155</v>
      </c>
      <c r="G13" s="25" t="s">
        <v>201</v>
      </c>
      <c r="H13" s="29" t="s">
        <v>584</v>
      </c>
      <c r="K13" s="25" t="s">
        <v>587</v>
      </c>
      <c r="L13" s="25" t="s">
        <v>585</v>
      </c>
      <c r="M13" s="25" t="s">
        <v>156</v>
      </c>
      <c r="N13" s="25" t="s">
        <v>580</v>
      </c>
      <c r="O13" s="25" t="s">
        <v>201</v>
      </c>
      <c r="P13" s="29" t="s">
        <v>584</v>
      </c>
    </row>
    <row r="14" spans="1:28" x14ac:dyDescent="0.4">
      <c r="C14" s="27"/>
      <c r="D14" s="27"/>
      <c r="E14" s="27"/>
      <c r="F14" s="27"/>
      <c r="G14" s="27"/>
      <c r="H14" s="30"/>
      <c r="K14" s="27"/>
      <c r="L14" s="27"/>
      <c r="M14" s="27"/>
      <c r="N14" s="27"/>
      <c r="O14" s="27"/>
      <c r="P14" s="30"/>
    </row>
    <row r="15" spans="1:28" x14ac:dyDescent="0.4">
      <c r="B15" s="4" t="s">
        <v>207</v>
      </c>
      <c r="D15" s="4">
        <f>+C51</f>
        <v>8000</v>
      </c>
      <c r="J15" s="4" t="s">
        <v>207</v>
      </c>
      <c r="L15" s="4">
        <f>+C51+C53</f>
        <v>11520</v>
      </c>
    </row>
    <row r="16" spans="1:28" x14ac:dyDescent="0.4">
      <c r="B16" s="4" t="s">
        <v>210</v>
      </c>
      <c r="D16" s="4">
        <f>-D46</f>
        <v>-20000</v>
      </c>
      <c r="J16" s="4" t="s">
        <v>210</v>
      </c>
      <c r="L16" s="4">
        <f>-D46</f>
        <v>-20000</v>
      </c>
    </row>
    <row r="17" spans="2:16" x14ac:dyDescent="0.4">
      <c r="J17" s="4" t="s">
        <v>211</v>
      </c>
      <c r="M17" s="4">
        <f>+D49*0.4</f>
        <v>1800</v>
      </c>
      <c r="N17" s="4">
        <f>+M17</f>
        <v>1800</v>
      </c>
      <c r="O17" s="4">
        <f>+N17</f>
        <v>1800</v>
      </c>
      <c r="P17" s="4">
        <f>+O17</f>
        <v>1800</v>
      </c>
    </row>
    <row r="18" spans="2:16" x14ac:dyDescent="0.4">
      <c r="B18" s="4" t="s">
        <v>212</v>
      </c>
      <c r="H18" s="4">
        <f>+D55</f>
        <v>3000</v>
      </c>
      <c r="J18" s="4" t="s">
        <v>212</v>
      </c>
      <c r="P18" s="4">
        <f>+D55+D57</f>
        <v>2600</v>
      </c>
    </row>
    <row r="19" spans="2:16" x14ac:dyDescent="0.4">
      <c r="B19" s="4" t="s">
        <v>214</v>
      </c>
      <c r="D19" s="4">
        <f>-E46</f>
        <v>-2400</v>
      </c>
      <c r="J19" s="4" t="s">
        <v>214</v>
      </c>
      <c r="L19" s="4">
        <f>-E46</f>
        <v>-2400</v>
      </c>
    </row>
    <row r="20" spans="2:16" x14ac:dyDescent="0.4">
      <c r="J20" s="4" t="s">
        <v>211</v>
      </c>
      <c r="M20" s="4">
        <f>+E49*0.4</f>
        <v>216</v>
      </c>
      <c r="N20" s="4">
        <f>+M20</f>
        <v>216</v>
      </c>
      <c r="O20" s="4">
        <f>+N20</f>
        <v>216</v>
      </c>
      <c r="P20" s="4">
        <f>+O20</f>
        <v>216</v>
      </c>
    </row>
    <row r="21" spans="2:16" x14ac:dyDescent="0.4">
      <c r="B21" s="4" t="s">
        <v>215</v>
      </c>
      <c r="H21" s="4">
        <f>+E55</f>
        <v>240</v>
      </c>
      <c r="J21" s="4" t="s">
        <v>215</v>
      </c>
      <c r="P21" s="4">
        <f>+E55</f>
        <v>240</v>
      </c>
    </row>
    <row r="22" spans="2:16" x14ac:dyDescent="0.4">
      <c r="B22" s="4" t="s">
        <v>591</v>
      </c>
      <c r="E22" s="4">
        <f>-E66</f>
        <v>-60</v>
      </c>
      <c r="F22" s="4">
        <f t="shared" ref="F22:H22" si="0">-F66</f>
        <v>-60</v>
      </c>
      <c r="G22" s="4">
        <f t="shared" si="0"/>
        <v>-60</v>
      </c>
      <c r="H22" s="4">
        <f t="shared" si="0"/>
        <v>-60</v>
      </c>
      <c r="J22" s="4" t="s">
        <v>218</v>
      </c>
      <c r="M22" s="4">
        <f t="shared" ref="M22:P23" si="1">-E66*0.6</f>
        <v>-36</v>
      </c>
      <c r="N22" s="4">
        <f t="shared" si="1"/>
        <v>-36</v>
      </c>
      <c r="O22" s="4">
        <f t="shared" si="1"/>
        <v>-36</v>
      </c>
      <c r="P22" s="4">
        <f t="shared" si="1"/>
        <v>-36</v>
      </c>
    </row>
    <row r="23" spans="2:16" x14ac:dyDescent="0.4">
      <c r="B23" s="4" t="s">
        <v>592</v>
      </c>
      <c r="E23" s="4">
        <f>-E67</f>
        <v>-1200</v>
      </c>
      <c r="F23" s="4">
        <f t="shared" ref="F23:H23" si="2">-F67</f>
        <v>-1200</v>
      </c>
      <c r="G23" s="4">
        <f t="shared" si="2"/>
        <v>-1200</v>
      </c>
      <c r="H23" s="4">
        <f t="shared" si="2"/>
        <v>-1200</v>
      </c>
      <c r="J23" s="4" t="s">
        <v>217</v>
      </c>
      <c r="M23" s="4">
        <f t="shared" si="1"/>
        <v>-720</v>
      </c>
      <c r="N23" s="4">
        <f t="shared" si="1"/>
        <v>-720</v>
      </c>
      <c r="O23" s="4">
        <f t="shared" si="1"/>
        <v>-720</v>
      </c>
      <c r="P23" s="4">
        <f t="shared" si="1"/>
        <v>-720</v>
      </c>
    </row>
    <row r="24" spans="2:16" x14ac:dyDescent="0.4">
      <c r="B24" s="4" t="s">
        <v>593</v>
      </c>
      <c r="D24" s="4">
        <f>-D68</f>
        <v>-3600</v>
      </c>
      <c r="J24" s="4" t="s">
        <v>216</v>
      </c>
      <c r="L24" s="4">
        <f>-D68*0.6</f>
        <v>-2160</v>
      </c>
    </row>
    <row r="25" spans="2:16" ht="16.8" thickBot="1" x14ac:dyDescent="0.45">
      <c r="B25" s="4" t="s">
        <v>594</v>
      </c>
      <c r="D25" s="172">
        <f>+SUM(D15:D24)</f>
        <v>-18000</v>
      </c>
      <c r="E25" s="172">
        <f>+SUM(E15:E24)</f>
        <v>-1260</v>
      </c>
      <c r="F25" s="172">
        <f>+SUM(F15:F24)</f>
        <v>-1260</v>
      </c>
      <c r="G25" s="172">
        <f>+SUM(G15:G24)</f>
        <v>-1260</v>
      </c>
      <c r="H25" s="172">
        <f>+SUM(H15:H24)</f>
        <v>1980</v>
      </c>
      <c r="J25" s="4" t="s">
        <v>219</v>
      </c>
      <c r="L25" s="172">
        <f>+SUM(L15:L24)</f>
        <v>-13040</v>
      </c>
      <c r="M25" s="172">
        <f>+SUM(M15:M24)</f>
        <v>1260</v>
      </c>
      <c r="N25" s="172">
        <f>+SUM(N15:N24)</f>
        <v>1260</v>
      </c>
      <c r="O25" s="172">
        <f>+SUM(O15:O24)</f>
        <v>1260</v>
      </c>
      <c r="P25" s="172">
        <f>+SUM(P15:P24)</f>
        <v>4100</v>
      </c>
    </row>
    <row r="26" spans="2:16" ht="16.8" thickTop="1" x14ac:dyDescent="0.4"/>
    <row r="27" spans="2:16" x14ac:dyDescent="0.4">
      <c r="B27" s="4" t="s">
        <v>196</v>
      </c>
      <c r="C27" s="4" t="s">
        <v>221</v>
      </c>
      <c r="J27" s="4" t="s">
        <v>196</v>
      </c>
      <c r="K27" s="4" t="s">
        <v>221</v>
      </c>
    </row>
    <row r="29" spans="2:16" x14ac:dyDescent="0.4">
      <c r="C29" s="25" t="s">
        <v>586</v>
      </c>
      <c r="D29" s="25" t="s">
        <v>163</v>
      </c>
      <c r="E29" s="25" t="s">
        <v>156</v>
      </c>
      <c r="F29" s="25" t="s">
        <v>155</v>
      </c>
      <c r="G29" s="25" t="s">
        <v>201</v>
      </c>
      <c r="H29" s="29" t="s">
        <v>584</v>
      </c>
      <c r="K29" s="25" t="s">
        <v>586</v>
      </c>
      <c r="L29" s="25" t="s">
        <v>585</v>
      </c>
      <c r="M29" s="25" t="s">
        <v>581</v>
      </c>
      <c r="N29" s="25" t="s">
        <v>580</v>
      </c>
      <c r="O29" s="25" t="s">
        <v>201</v>
      </c>
      <c r="P29" s="29" t="s">
        <v>584</v>
      </c>
    </row>
    <row r="30" spans="2:16" x14ac:dyDescent="0.4">
      <c r="C30" s="27"/>
      <c r="D30" s="27"/>
      <c r="E30" s="27"/>
      <c r="F30" s="27"/>
      <c r="G30" s="27"/>
      <c r="H30" s="30"/>
      <c r="K30" s="27"/>
      <c r="L30" s="27"/>
      <c r="M30" s="27"/>
      <c r="N30" s="27"/>
      <c r="O30" s="27"/>
      <c r="P30" s="30"/>
    </row>
    <row r="31" spans="2:16" x14ac:dyDescent="0.4">
      <c r="B31" s="4" t="s">
        <v>207</v>
      </c>
      <c r="C31" s="36"/>
      <c r="D31" s="36"/>
      <c r="E31" s="36"/>
      <c r="F31" s="36"/>
      <c r="G31" s="36"/>
      <c r="H31" s="36">
        <f>+C55</f>
        <v>240</v>
      </c>
      <c r="J31" s="4" t="s">
        <v>207</v>
      </c>
      <c r="K31" s="36"/>
      <c r="L31" s="36"/>
      <c r="M31" s="36"/>
      <c r="N31" s="36"/>
      <c r="O31" s="36"/>
      <c r="P31" s="36">
        <f>+C55+C57</f>
        <v>1104</v>
      </c>
    </row>
    <row r="32" spans="2:16" x14ac:dyDescent="0.4">
      <c r="B32" s="4" t="s">
        <v>222</v>
      </c>
      <c r="C32" s="36"/>
      <c r="D32" s="36"/>
      <c r="E32" s="36"/>
      <c r="F32" s="36"/>
      <c r="G32" s="36"/>
      <c r="H32" s="36"/>
      <c r="J32" s="4" t="s">
        <v>222</v>
      </c>
      <c r="K32" s="36"/>
      <c r="L32" s="36"/>
      <c r="M32" s="36">
        <f>+C49*0.4</f>
        <v>1440</v>
      </c>
      <c r="N32" s="36">
        <f>+M32</f>
        <v>1440</v>
      </c>
      <c r="O32" s="36">
        <f>+N32</f>
        <v>1440</v>
      </c>
      <c r="P32" s="36">
        <f>+O32</f>
        <v>1440</v>
      </c>
    </row>
    <row r="33" spans="2:16" x14ac:dyDescent="0.4">
      <c r="B33" s="4" t="s">
        <v>595</v>
      </c>
      <c r="C33" s="36"/>
      <c r="D33" s="36"/>
      <c r="E33" s="36"/>
      <c r="F33" s="36">
        <f>-7000*($E$72-F72)/10000</f>
        <v>-4900</v>
      </c>
      <c r="G33" s="36">
        <f>-7000*($E$72-G72)/10000</f>
        <v>-9800</v>
      </c>
      <c r="H33" s="36">
        <f>-7000*($E$72-H72)/10000</f>
        <v>-14700</v>
      </c>
      <c r="J33" s="4" t="s">
        <v>224</v>
      </c>
      <c r="K33" s="36"/>
      <c r="L33" s="36"/>
      <c r="M33" s="36"/>
      <c r="N33" s="36">
        <f>-7000*($E$72-F72)/10000*0.6</f>
        <v>-2940</v>
      </c>
      <c r="O33" s="36">
        <f>-7000*($E$72-G72)/10000*0.6</f>
        <v>-5880</v>
      </c>
      <c r="P33" s="36">
        <f>-7000*($E$72-H72)/10000*0.6</f>
        <v>-8820</v>
      </c>
    </row>
    <row r="34" spans="2:16" x14ac:dyDescent="0.4">
      <c r="B34" s="4" t="s">
        <v>592</v>
      </c>
      <c r="C34" s="36"/>
      <c r="D34" s="36"/>
      <c r="E34" s="36">
        <f>-E73</f>
        <v>-1000</v>
      </c>
      <c r="F34" s="36">
        <f t="shared" ref="F34:H34" si="3">-F73</f>
        <v>-1000</v>
      </c>
      <c r="G34" s="36">
        <f t="shared" si="3"/>
        <v>-1000</v>
      </c>
      <c r="H34" s="36">
        <f t="shared" si="3"/>
        <v>-1000</v>
      </c>
      <c r="J34" s="4" t="s">
        <v>217</v>
      </c>
      <c r="K34" s="36"/>
      <c r="L34" s="36"/>
      <c r="M34" s="36">
        <f>-E73*0.6</f>
        <v>-600</v>
      </c>
      <c r="N34" s="36">
        <f>-F73*0.6</f>
        <v>-600</v>
      </c>
      <c r="O34" s="36">
        <f>-G73*0.6</f>
        <v>-600</v>
      </c>
      <c r="P34" s="36">
        <f>-H73*0.6</f>
        <v>-600</v>
      </c>
    </row>
    <row r="35" spans="2:16" x14ac:dyDescent="0.4">
      <c r="B35" s="4" t="s">
        <v>591</v>
      </c>
      <c r="E35" s="4">
        <f>-E75</f>
        <v>-900</v>
      </c>
      <c r="F35" s="4">
        <f t="shared" ref="F35:H35" si="4">-F75</f>
        <v>-816</v>
      </c>
      <c r="G35" s="4">
        <f t="shared" si="4"/>
        <v>-732</v>
      </c>
      <c r="H35" s="4">
        <f t="shared" si="4"/>
        <v>-648</v>
      </c>
      <c r="J35" s="4" t="s">
        <v>218</v>
      </c>
      <c r="M35" s="4">
        <f>-E75*0.6</f>
        <v>-540</v>
      </c>
      <c r="N35" s="4">
        <f>-F75*0.6</f>
        <v>-489.59999999999997</v>
      </c>
      <c r="O35" s="4">
        <f>-G75*0.6</f>
        <v>-439.2</v>
      </c>
      <c r="P35" s="4">
        <f>-H75*0.6</f>
        <v>-388.8</v>
      </c>
    </row>
    <row r="36" spans="2:16" x14ac:dyDescent="0.4">
      <c r="B36" s="4" t="s">
        <v>596</v>
      </c>
      <c r="E36" s="4">
        <f>-E77</f>
        <v>-750</v>
      </c>
      <c r="F36" s="4">
        <f t="shared" ref="F36:H36" si="5">-F77</f>
        <v>-680</v>
      </c>
      <c r="G36" s="4">
        <f t="shared" si="5"/>
        <v>-610</v>
      </c>
      <c r="H36" s="4">
        <f t="shared" si="5"/>
        <v>-540</v>
      </c>
      <c r="J36" s="4" t="s">
        <v>223</v>
      </c>
      <c r="M36" s="4">
        <f>-E77*0.6</f>
        <v>-450</v>
      </c>
      <c r="N36" s="4">
        <f>-F77*0.6</f>
        <v>-408</v>
      </c>
      <c r="O36" s="4">
        <f>-G77*0.6</f>
        <v>-366</v>
      </c>
      <c r="P36" s="4">
        <f>-H77*0.6</f>
        <v>-324</v>
      </c>
    </row>
    <row r="38" spans="2:16" ht="16.8" thickBot="1" x14ac:dyDescent="0.45">
      <c r="B38" s="4" t="s">
        <v>594</v>
      </c>
      <c r="D38" s="172">
        <f>+SUM(D31:D37)</f>
        <v>0</v>
      </c>
      <c r="E38" s="172">
        <f>+SUM(E31:E37)</f>
        <v>-2650</v>
      </c>
      <c r="F38" s="172">
        <f>+SUM(F31:F37)</f>
        <v>-7396</v>
      </c>
      <c r="G38" s="172">
        <f>+SUM(G31:G37)</f>
        <v>-12142</v>
      </c>
      <c r="H38" s="172">
        <f>+SUM(H31:H37)</f>
        <v>-16648</v>
      </c>
      <c r="J38" s="4" t="s">
        <v>219</v>
      </c>
      <c r="L38" s="172">
        <f>+SUM(L31:L37)</f>
        <v>0</v>
      </c>
      <c r="M38" s="172">
        <f>+SUM(M31:M37)</f>
        <v>-150</v>
      </c>
      <c r="N38" s="172">
        <f>+SUM(N31:N37)</f>
        <v>-2997.6</v>
      </c>
      <c r="O38" s="172">
        <f>+SUM(O31:O37)</f>
        <v>-5845.2</v>
      </c>
      <c r="P38" s="172">
        <f>+SUM(P31:P37)</f>
        <v>-7588.8</v>
      </c>
    </row>
    <row r="39" spans="2:16" ht="16.8" thickTop="1" x14ac:dyDescent="0.4"/>
    <row r="43" spans="2:16" x14ac:dyDescent="0.4">
      <c r="I43" s="4" t="s">
        <v>597</v>
      </c>
      <c r="K43" s="4" t="s">
        <v>598</v>
      </c>
      <c r="L43" s="119">
        <v>1</v>
      </c>
      <c r="M43" s="119">
        <v>0.86960000000000004</v>
      </c>
      <c r="N43" s="119">
        <v>0.75609999999999999</v>
      </c>
      <c r="O43" s="119">
        <v>0.65749999999999997</v>
      </c>
      <c r="P43" s="119">
        <v>0.57179999999999997</v>
      </c>
    </row>
    <row r="44" spans="2:16" x14ac:dyDescent="0.4">
      <c r="B44" s="4" t="s">
        <v>28</v>
      </c>
    </row>
    <row r="45" spans="2:16" x14ac:dyDescent="0.4">
      <c r="C45" s="4" t="s">
        <v>202</v>
      </c>
      <c r="D45" s="4" t="s">
        <v>203</v>
      </c>
      <c r="E45" s="4" t="s">
        <v>204</v>
      </c>
      <c r="J45" s="4" t="s">
        <v>599</v>
      </c>
      <c r="L45" s="4">
        <f>+L25*L43</f>
        <v>-13040</v>
      </c>
      <c r="M45" s="4">
        <f t="shared" ref="M45:P45" si="6">+M25*M43</f>
        <v>1095.6960000000001</v>
      </c>
      <c r="N45" s="4">
        <f t="shared" si="6"/>
        <v>952.68600000000004</v>
      </c>
      <c r="O45" s="4">
        <f t="shared" si="6"/>
        <v>828.44999999999993</v>
      </c>
      <c r="P45" s="4">
        <f t="shared" si="6"/>
        <v>2344.38</v>
      </c>
    </row>
    <row r="46" spans="2:16" x14ac:dyDescent="0.4">
      <c r="B46" s="4" t="s">
        <v>29</v>
      </c>
      <c r="C46" s="4">
        <v>24000</v>
      </c>
      <c r="D46" s="4">
        <v>20000</v>
      </c>
      <c r="E46" s="4">
        <v>2400</v>
      </c>
      <c r="J46" s="4" t="s">
        <v>600</v>
      </c>
      <c r="L46" s="82">
        <f>+SUM(L45:P45)</f>
        <v>-7818.7879999999996</v>
      </c>
    </row>
    <row r="47" spans="2:16" x14ac:dyDescent="0.4">
      <c r="B47" s="4" t="s">
        <v>205</v>
      </c>
      <c r="C47" s="4">
        <v>6</v>
      </c>
      <c r="D47" s="4">
        <v>4</v>
      </c>
      <c r="E47" s="4">
        <v>4</v>
      </c>
    </row>
    <row r="48" spans="2:16" x14ac:dyDescent="0.4">
      <c r="B48" s="4" t="s">
        <v>30</v>
      </c>
      <c r="C48" s="4">
        <v>2400</v>
      </c>
      <c r="D48" s="4">
        <v>2000</v>
      </c>
      <c r="E48" s="4">
        <v>240</v>
      </c>
      <c r="J48" s="4" t="s">
        <v>601</v>
      </c>
      <c r="L48" s="4">
        <f>+L38*L43</f>
        <v>0</v>
      </c>
      <c r="M48" s="4">
        <f t="shared" ref="M48:P48" si="7">+M38*M43</f>
        <v>-130.44</v>
      </c>
      <c r="N48" s="4">
        <f t="shared" si="7"/>
        <v>-2266.4853600000001</v>
      </c>
      <c r="O48" s="4">
        <f t="shared" si="7"/>
        <v>-3843.2189999999996</v>
      </c>
      <c r="P48" s="4">
        <f t="shared" si="7"/>
        <v>-4339.2758400000002</v>
      </c>
    </row>
    <row r="49" spans="2:13" x14ac:dyDescent="0.4">
      <c r="B49" s="4" t="s">
        <v>32</v>
      </c>
      <c r="C49" s="4">
        <f>+(C46-C48)/6</f>
        <v>3600</v>
      </c>
      <c r="D49" s="4">
        <f>+(D46-D48)/4</f>
        <v>4500</v>
      </c>
      <c r="E49" s="4">
        <f>+(E46-E48)/4</f>
        <v>540</v>
      </c>
      <c r="J49" s="4" t="s">
        <v>600</v>
      </c>
      <c r="L49" s="82">
        <f>+SUM(L48:P48)</f>
        <v>-10579.4202</v>
      </c>
    </row>
    <row r="51" spans="2:13" x14ac:dyDescent="0.4">
      <c r="B51" s="4" t="s">
        <v>208</v>
      </c>
      <c r="C51" s="4">
        <v>8000</v>
      </c>
      <c r="J51" s="4" t="s">
        <v>602</v>
      </c>
      <c r="K51" s="118" t="s">
        <v>603</v>
      </c>
      <c r="L51" s="82">
        <f>+L46-L49</f>
        <v>2760.6322000000009</v>
      </c>
      <c r="M51" s="4" t="s">
        <v>604</v>
      </c>
    </row>
    <row r="52" spans="2:13" x14ac:dyDescent="0.4">
      <c r="B52" s="4" t="s">
        <v>72</v>
      </c>
      <c r="C52" s="4">
        <f>+C51-(C46-C49*2)</f>
        <v>-8800</v>
      </c>
    </row>
    <row r="53" spans="2:13" x14ac:dyDescent="0.4">
      <c r="B53" s="4" t="s">
        <v>209</v>
      </c>
      <c r="C53" s="4">
        <f>-C52*0.4</f>
        <v>3520</v>
      </c>
    </row>
    <row r="55" spans="2:13" x14ac:dyDescent="0.4">
      <c r="B55" s="4" t="s">
        <v>213</v>
      </c>
      <c r="C55" s="4">
        <v>240</v>
      </c>
      <c r="D55" s="4">
        <v>3000</v>
      </c>
      <c r="E55" s="4">
        <v>240</v>
      </c>
    </row>
    <row r="56" spans="2:13" x14ac:dyDescent="0.4">
      <c r="B56" s="4" t="s">
        <v>72</v>
      </c>
      <c r="C56" s="4">
        <f>+C55-C48</f>
        <v>-2160</v>
      </c>
      <c r="D56" s="4">
        <f>+D55-D48</f>
        <v>1000</v>
      </c>
      <c r="E56" s="4">
        <v>0</v>
      </c>
    </row>
    <row r="57" spans="2:13" x14ac:dyDescent="0.4">
      <c r="B57" s="4" t="s">
        <v>583</v>
      </c>
      <c r="C57" s="4">
        <f>-C56*0.4</f>
        <v>864</v>
      </c>
      <c r="D57" s="4">
        <f>-D56*0.4</f>
        <v>-400</v>
      </c>
    </row>
    <row r="61" spans="2:13" x14ac:dyDescent="0.4">
      <c r="B61" s="4" t="s">
        <v>187</v>
      </c>
    </row>
    <row r="63" spans="2:13" x14ac:dyDescent="0.4">
      <c r="B63" s="4" t="s">
        <v>188</v>
      </c>
      <c r="C63" s="4" t="s">
        <v>191</v>
      </c>
      <c r="D63" s="4" t="s">
        <v>582</v>
      </c>
      <c r="E63" s="4" t="s">
        <v>581</v>
      </c>
      <c r="F63" s="4" t="s">
        <v>580</v>
      </c>
      <c r="G63" s="4" t="s">
        <v>62</v>
      </c>
      <c r="H63" s="4" t="s">
        <v>63</v>
      </c>
    </row>
    <row r="64" spans="2:13" x14ac:dyDescent="0.4">
      <c r="B64" s="4" t="s">
        <v>189</v>
      </c>
      <c r="E64" s="4">
        <v>75000</v>
      </c>
      <c r="F64" s="4">
        <f>+E64</f>
        <v>75000</v>
      </c>
      <c r="G64" s="4">
        <f>+F64</f>
        <v>75000</v>
      </c>
      <c r="H64" s="4">
        <f>+G64</f>
        <v>75000</v>
      </c>
      <c r="I64" s="4" t="s">
        <v>194</v>
      </c>
    </row>
    <row r="65" spans="2:9" x14ac:dyDescent="0.4">
      <c r="B65" s="4" t="s">
        <v>190</v>
      </c>
      <c r="C65" s="4">
        <v>800</v>
      </c>
      <c r="E65" s="4">
        <f>+E64*0.01</f>
        <v>750</v>
      </c>
      <c r="F65" s="4">
        <f>+F64*0.01</f>
        <v>750</v>
      </c>
      <c r="G65" s="4">
        <f>+G64*0.01</f>
        <v>750</v>
      </c>
      <c r="H65" s="4">
        <f>+H64*0.01</f>
        <v>750</v>
      </c>
      <c r="I65" s="4" t="s">
        <v>194</v>
      </c>
    </row>
    <row r="66" spans="2:9" x14ac:dyDescent="0.4">
      <c r="B66" s="4" t="s">
        <v>193</v>
      </c>
      <c r="E66" s="4">
        <f>+E65*$C$65/10000</f>
        <v>60</v>
      </c>
      <c r="F66" s="4">
        <f>+F65*$C$65/10000</f>
        <v>60</v>
      </c>
      <c r="G66" s="4">
        <f>+G65*$C$65/10000</f>
        <v>60</v>
      </c>
      <c r="H66" s="4">
        <f>+H65*$C$65/10000</f>
        <v>60</v>
      </c>
      <c r="I66" s="4" t="s">
        <v>195</v>
      </c>
    </row>
    <row r="67" spans="2:9" x14ac:dyDescent="0.4">
      <c r="B67" s="4" t="s">
        <v>220</v>
      </c>
      <c r="E67" s="4">
        <v>1200</v>
      </c>
      <c r="F67" s="4">
        <v>1200</v>
      </c>
      <c r="G67" s="4">
        <v>1200</v>
      </c>
      <c r="H67" s="4">
        <v>1200</v>
      </c>
      <c r="I67" s="4" t="s">
        <v>195</v>
      </c>
    </row>
    <row r="68" spans="2:9" x14ac:dyDescent="0.4">
      <c r="B68" s="4" t="s">
        <v>199</v>
      </c>
      <c r="D68" s="4">
        <v>3600</v>
      </c>
      <c r="I68" s="4" t="s">
        <v>195</v>
      </c>
    </row>
    <row r="72" spans="2:9" x14ac:dyDescent="0.4">
      <c r="B72" s="4" t="s">
        <v>196</v>
      </c>
      <c r="E72" s="4">
        <v>75000</v>
      </c>
      <c r="F72" s="4">
        <f>+E72-7000</f>
        <v>68000</v>
      </c>
      <c r="G72" s="4">
        <f>+F72-7000</f>
        <v>61000</v>
      </c>
      <c r="H72" s="4">
        <f>+G72-7000</f>
        <v>54000</v>
      </c>
      <c r="I72" s="4" t="s">
        <v>194</v>
      </c>
    </row>
    <row r="73" spans="2:9" x14ac:dyDescent="0.4">
      <c r="B73" s="4" t="s">
        <v>220</v>
      </c>
      <c r="E73" s="4">
        <v>1000</v>
      </c>
      <c r="F73" s="4">
        <v>1000</v>
      </c>
      <c r="G73" s="4">
        <v>1000</v>
      </c>
      <c r="H73" s="4">
        <v>1000</v>
      </c>
      <c r="I73" s="4" t="s">
        <v>195</v>
      </c>
    </row>
    <row r="74" spans="2:9" x14ac:dyDescent="0.4">
      <c r="B74" s="4" t="s">
        <v>190</v>
      </c>
      <c r="C74" s="4">
        <v>4000</v>
      </c>
      <c r="E74" s="4">
        <f>+E72*0.03</f>
        <v>2250</v>
      </c>
      <c r="F74" s="4">
        <f>+F72*0.03</f>
        <v>2040</v>
      </c>
      <c r="G74" s="4">
        <f>+G72*0.03</f>
        <v>1830</v>
      </c>
      <c r="H74" s="4">
        <f>+H72*0.03</f>
        <v>1620</v>
      </c>
      <c r="I74" s="4" t="s">
        <v>194</v>
      </c>
    </row>
    <row r="75" spans="2:9" x14ac:dyDescent="0.4">
      <c r="B75" s="4" t="s">
        <v>192</v>
      </c>
      <c r="E75" s="4">
        <f>+$C$74*E74/10000</f>
        <v>900</v>
      </c>
      <c r="F75" s="4">
        <f>+$C$74*F74/10000</f>
        <v>816</v>
      </c>
      <c r="G75" s="4">
        <f>+$C$74*G74/10000</f>
        <v>732</v>
      </c>
      <c r="H75" s="4">
        <f>+$C$74*H74/10000</f>
        <v>648</v>
      </c>
      <c r="I75" s="4" t="s">
        <v>195</v>
      </c>
    </row>
    <row r="76" spans="2:9" x14ac:dyDescent="0.4">
      <c r="B76" s="4" t="s">
        <v>197</v>
      </c>
      <c r="C76" s="4">
        <v>10000</v>
      </c>
      <c r="E76" s="4">
        <f>+E72*0.01</f>
        <v>750</v>
      </c>
      <c r="F76" s="4">
        <f>+F72*0.01</f>
        <v>680</v>
      </c>
      <c r="G76" s="4">
        <f>+G72*0.01</f>
        <v>610</v>
      </c>
      <c r="H76" s="4">
        <f>+H72*0.01</f>
        <v>540</v>
      </c>
      <c r="I76" s="4" t="s">
        <v>194</v>
      </c>
    </row>
    <row r="77" spans="2:9" x14ac:dyDescent="0.4">
      <c r="B77" s="4" t="s">
        <v>198</v>
      </c>
      <c r="E77" s="4">
        <f>+$C$76*E76/10000</f>
        <v>750</v>
      </c>
      <c r="F77" s="4">
        <f>+$C$76*F76/10000</f>
        <v>680</v>
      </c>
      <c r="G77" s="4">
        <f>+$C$76*G76/10000</f>
        <v>610</v>
      </c>
      <c r="H77" s="4">
        <f>+$C$76*H76/10000</f>
        <v>540</v>
      </c>
      <c r="I77" s="4" t="s">
        <v>195</v>
      </c>
    </row>
  </sheetData>
  <phoneticPr fontId="3"/>
  <pageMargins left="0.25" right="0.25"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21" x14ac:dyDescent="0.4">
      <c r="A1" s="1" t="s">
        <v>302</v>
      </c>
      <c r="B1" s="2"/>
      <c r="C1" s="2"/>
      <c r="D1" s="2"/>
      <c r="E1" s="2"/>
      <c r="F1" s="2"/>
      <c r="G1" s="2"/>
      <c r="H1" s="2"/>
      <c r="I1" s="2"/>
      <c r="J1" s="2"/>
      <c r="K1" s="2"/>
      <c r="L1" s="2"/>
      <c r="M1" s="2"/>
      <c r="N1" s="2"/>
      <c r="O1" s="2"/>
      <c r="P1" s="2"/>
      <c r="Q1" s="3"/>
    </row>
    <row r="2" spans="1:21" x14ac:dyDescent="0.4">
      <c r="A2" s="5" t="s">
        <v>304</v>
      </c>
      <c r="B2" s="6"/>
      <c r="C2" s="6"/>
      <c r="D2" s="6"/>
      <c r="E2" s="6"/>
      <c r="F2" s="6"/>
      <c r="G2" s="6"/>
      <c r="H2" s="6"/>
      <c r="I2" s="6"/>
      <c r="J2" s="6"/>
      <c r="K2" s="6"/>
      <c r="L2" s="6"/>
      <c r="M2" s="6"/>
      <c r="N2" s="6"/>
      <c r="O2" s="6"/>
      <c r="P2" s="6"/>
      <c r="Q2" s="7"/>
    </row>
    <row r="3" spans="1:21" x14ac:dyDescent="0.4">
      <c r="A3" s="8" t="s">
        <v>605</v>
      </c>
      <c r="B3" s="9"/>
      <c r="C3" s="9"/>
      <c r="D3" s="9"/>
      <c r="E3" s="9"/>
      <c r="F3" s="9"/>
      <c r="G3" s="9"/>
      <c r="H3" s="9"/>
      <c r="I3" s="9"/>
      <c r="J3" s="9"/>
      <c r="K3" s="9"/>
      <c r="L3" s="9"/>
      <c r="M3" s="9"/>
      <c r="N3" s="9"/>
      <c r="O3" s="9"/>
      <c r="P3" s="9"/>
      <c r="Q3" s="10"/>
    </row>
    <row r="4" spans="1:21" s="12" customFormat="1" x14ac:dyDescent="0.4">
      <c r="A4" s="11"/>
      <c r="B4" s="11"/>
      <c r="C4" s="11"/>
      <c r="D4" s="11"/>
      <c r="E4" s="11"/>
      <c r="F4" s="11"/>
      <c r="G4" s="11"/>
      <c r="H4" s="11"/>
      <c r="I4" s="11"/>
      <c r="J4" s="11"/>
      <c r="K4" s="11"/>
      <c r="L4" s="11"/>
      <c r="M4" s="11"/>
      <c r="N4" s="11"/>
      <c r="O4" s="11"/>
      <c r="P4" s="11"/>
      <c r="Q4" s="11"/>
    </row>
    <row r="5" spans="1:21" ht="18" customHeight="1" x14ac:dyDescent="0.4">
      <c r="A5" s="13" t="s">
        <v>0</v>
      </c>
      <c r="B5" s="14"/>
      <c r="C5" s="14"/>
      <c r="D5" s="14"/>
      <c r="E5" s="14"/>
      <c r="F5" s="14"/>
      <c r="G5" s="14"/>
      <c r="H5" s="14"/>
      <c r="I5" s="14"/>
      <c r="J5" s="14"/>
      <c r="K5" s="14"/>
      <c r="L5" s="14"/>
      <c r="M5" s="14"/>
      <c r="N5" s="14"/>
      <c r="O5" s="14"/>
      <c r="P5" s="14"/>
      <c r="Q5" s="14"/>
      <c r="R5" s="15"/>
    </row>
    <row r="6" spans="1:21" x14ac:dyDescent="0.4">
      <c r="A6" s="16" t="s">
        <v>606</v>
      </c>
      <c r="B6" s="17"/>
      <c r="C6" s="17"/>
      <c r="D6" s="17"/>
      <c r="E6" s="17"/>
      <c r="F6" s="17"/>
      <c r="G6" s="17"/>
      <c r="H6" s="17"/>
      <c r="I6" s="17"/>
      <c r="J6" s="17"/>
      <c r="K6" s="17"/>
      <c r="L6" s="17"/>
      <c r="M6" s="17"/>
      <c r="N6" s="17"/>
      <c r="O6" s="17"/>
      <c r="P6" s="17"/>
      <c r="Q6" s="17"/>
      <c r="R6" s="18"/>
    </row>
    <row r="7" spans="1:21" x14ac:dyDescent="0.4">
      <c r="A7" s="19" t="s">
        <v>623</v>
      </c>
      <c r="B7" s="20"/>
      <c r="C7" s="20"/>
      <c r="D7" s="20"/>
      <c r="E7" s="20"/>
      <c r="F7" s="20"/>
      <c r="G7" s="20"/>
      <c r="H7" s="20"/>
      <c r="I7" s="46"/>
      <c r="J7" s="20"/>
      <c r="K7" s="20"/>
      <c r="L7" s="20"/>
      <c r="M7" s="20"/>
      <c r="N7" s="20"/>
      <c r="O7" s="20"/>
      <c r="P7" s="20"/>
      <c r="Q7" s="20"/>
      <c r="R7" s="21"/>
    </row>
    <row r="8" spans="1:21" s="12" customFormat="1" ht="17.25" customHeight="1" x14ac:dyDescent="0.4">
      <c r="D8" s="22"/>
      <c r="E8" s="22"/>
      <c r="F8" s="22"/>
      <c r="G8" s="22"/>
      <c r="H8" s="22"/>
      <c r="I8" s="22"/>
      <c r="J8" s="22"/>
      <c r="K8" s="22"/>
      <c r="L8" s="22"/>
      <c r="M8" s="22"/>
      <c r="N8" s="22"/>
      <c r="O8" s="22"/>
      <c r="P8" s="22"/>
      <c r="Q8" s="22"/>
      <c r="R8" s="22"/>
      <c r="S8" s="22"/>
      <c r="T8" s="22"/>
      <c r="U8" s="22"/>
    </row>
    <row r="9" spans="1:21" x14ac:dyDescent="0.4">
      <c r="A9" s="4" t="s">
        <v>617</v>
      </c>
      <c r="C9" s="27"/>
      <c r="D9" s="30" t="s">
        <v>107</v>
      </c>
      <c r="E9" s="88">
        <v>0.6</v>
      </c>
      <c r="F9" s="85">
        <v>0.05</v>
      </c>
      <c r="G9" s="85">
        <f>+F9*0.6</f>
        <v>0.03</v>
      </c>
    </row>
    <row r="10" spans="1:21" x14ac:dyDescent="0.4">
      <c r="C10" s="174"/>
      <c r="D10" s="29"/>
      <c r="E10" s="24"/>
      <c r="F10" s="85"/>
      <c r="G10" s="85"/>
    </row>
    <row r="11" spans="1:21" x14ac:dyDescent="0.4">
      <c r="C11" s="174"/>
      <c r="D11" s="36" t="s">
        <v>618</v>
      </c>
      <c r="E11" s="88">
        <v>0.4</v>
      </c>
      <c r="F11" s="85">
        <v>0.13</v>
      </c>
      <c r="G11" s="85"/>
    </row>
    <row r="12" spans="1:21" x14ac:dyDescent="0.4">
      <c r="C12" s="25"/>
      <c r="D12" s="42"/>
      <c r="E12" s="24"/>
      <c r="F12" s="85"/>
      <c r="G12" s="85"/>
    </row>
    <row r="13" spans="1:21" x14ac:dyDescent="0.4">
      <c r="F13" s="85" t="s">
        <v>315</v>
      </c>
      <c r="G13" s="83">
        <f>+G9*E9+F11*E11</f>
        <v>7.0000000000000007E-2</v>
      </c>
    </row>
    <row r="15" spans="1:21" x14ac:dyDescent="0.4">
      <c r="A15" s="4" t="s">
        <v>619</v>
      </c>
    </row>
    <row r="16" spans="1:21" s="12" customFormat="1" ht="17.25" customHeight="1" x14ac:dyDescent="0.4">
      <c r="B16" s="12" t="s">
        <v>609</v>
      </c>
      <c r="D16" s="173" t="s">
        <v>610</v>
      </c>
      <c r="E16" s="173"/>
      <c r="F16" s="173" t="s">
        <v>611</v>
      </c>
      <c r="G16" s="173"/>
      <c r="H16" s="173" t="s">
        <v>612</v>
      </c>
      <c r="I16" s="173"/>
      <c r="J16" s="173"/>
      <c r="K16" s="173" t="s">
        <v>28</v>
      </c>
      <c r="L16" s="173"/>
      <c r="M16" s="173"/>
      <c r="N16" s="173"/>
      <c r="O16" s="173"/>
      <c r="P16" s="173"/>
      <c r="Q16" s="173"/>
      <c r="R16" s="173"/>
      <c r="S16" s="173"/>
      <c r="T16" s="173"/>
      <c r="U16" s="173"/>
    </row>
    <row r="17" spans="2:13" x14ac:dyDescent="0.4">
      <c r="D17" s="25" t="s">
        <v>607</v>
      </c>
      <c r="E17" s="29" t="s">
        <v>608</v>
      </c>
      <c r="F17" s="25" t="s">
        <v>62</v>
      </c>
      <c r="G17" s="29" t="s">
        <v>63</v>
      </c>
      <c r="H17" s="25" t="s">
        <v>64</v>
      </c>
      <c r="I17" s="29" t="s">
        <v>157</v>
      </c>
      <c r="L17" s="4" t="s">
        <v>609</v>
      </c>
      <c r="M17" s="4" t="s">
        <v>613</v>
      </c>
    </row>
    <row r="18" spans="2:13" x14ac:dyDescent="0.4">
      <c r="D18" s="27"/>
      <c r="E18" s="30"/>
      <c r="F18" s="27"/>
      <c r="G18" s="30"/>
      <c r="H18" s="27"/>
      <c r="I18" s="30"/>
      <c r="K18" s="4" t="s">
        <v>29</v>
      </c>
      <c r="L18" s="4">
        <v>3000</v>
      </c>
      <c r="M18" s="4">
        <v>4000</v>
      </c>
    </row>
    <row r="19" spans="2:13" x14ac:dyDescent="0.4">
      <c r="B19" s="4" t="s">
        <v>614</v>
      </c>
      <c r="C19" s="4">
        <f>-$L$18</f>
        <v>-3000</v>
      </c>
      <c r="E19" s="4">
        <f>-$L$18</f>
        <v>-3000</v>
      </c>
      <c r="G19" s="4">
        <f>-$L$18</f>
        <v>-3000</v>
      </c>
      <c r="K19" s="4" t="s">
        <v>205</v>
      </c>
      <c r="L19" s="4">
        <v>2</v>
      </c>
      <c r="M19" s="4">
        <v>3</v>
      </c>
    </row>
    <row r="20" spans="2:13" x14ac:dyDescent="0.4">
      <c r="B20" s="4" t="s">
        <v>615</v>
      </c>
      <c r="E20" s="4">
        <f>+$L$20</f>
        <v>300</v>
      </c>
      <c r="G20" s="4">
        <f>+$L$20</f>
        <v>300</v>
      </c>
      <c r="I20" s="4">
        <f>+$L$20</f>
        <v>300</v>
      </c>
      <c r="K20" s="4" t="s">
        <v>30</v>
      </c>
      <c r="L20" s="4">
        <v>300</v>
      </c>
      <c r="M20" s="4">
        <v>400</v>
      </c>
    </row>
    <row r="21" spans="2:13" x14ac:dyDescent="0.4">
      <c r="B21" s="4" t="s">
        <v>173</v>
      </c>
      <c r="D21" s="4">
        <f>+L21*0.4</f>
        <v>540</v>
      </c>
      <c r="E21" s="4">
        <f>+D21</f>
        <v>540</v>
      </c>
      <c r="F21" s="4">
        <f t="shared" ref="F21:I21" si="0">+E21</f>
        <v>540</v>
      </c>
      <c r="G21" s="4">
        <f t="shared" si="0"/>
        <v>540</v>
      </c>
      <c r="H21" s="4">
        <f t="shared" si="0"/>
        <v>540</v>
      </c>
      <c r="I21" s="4">
        <f t="shared" si="0"/>
        <v>540</v>
      </c>
      <c r="K21" s="4" t="s">
        <v>32</v>
      </c>
      <c r="L21" s="4">
        <f>+(L18-L20)/L19</f>
        <v>1350</v>
      </c>
      <c r="M21" s="4">
        <f>+(M18-M20)/M19</f>
        <v>1200</v>
      </c>
    </row>
    <row r="22" spans="2:13" x14ac:dyDescent="0.4">
      <c r="B22" s="4" t="s">
        <v>616</v>
      </c>
      <c r="D22" s="4">
        <f>-L23*0.6</f>
        <v>-1050</v>
      </c>
      <c r="E22" s="4">
        <f>+D22</f>
        <v>-1050</v>
      </c>
      <c r="F22" s="4">
        <f t="shared" ref="F22:I22" si="1">+E22</f>
        <v>-1050</v>
      </c>
      <c r="G22" s="4">
        <f t="shared" si="1"/>
        <v>-1050</v>
      </c>
      <c r="H22" s="4">
        <f t="shared" si="1"/>
        <v>-1050</v>
      </c>
      <c r="I22" s="4">
        <f t="shared" si="1"/>
        <v>-1050</v>
      </c>
    </row>
    <row r="23" spans="2:13" x14ac:dyDescent="0.4">
      <c r="B23" s="4" t="s">
        <v>175</v>
      </c>
      <c r="C23" s="175">
        <f>+SUM(C19:C22)</f>
        <v>-3000</v>
      </c>
      <c r="D23" s="175">
        <f t="shared" ref="D23:I23" si="2">+SUM(D19:D22)</f>
        <v>-510</v>
      </c>
      <c r="E23" s="175">
        <f t="shared" si="2"/>
        <v>-3210</v>
      </c>
      <c r="F23" s="175">
        <f t="shared" si="2"/>
        <v>-510</v>
      </c>
      <c r="G23" s="175">
        <f t="shared" si="2"/>
        <v>-3210</v>
      </c>
      <c r="H23" s="175">
        <f t="shared" si="2"/>
        <v>-510</v>
      </c>
      <c r="I23" s="175">
        <f t="shared" si="2"/>
        <v>-210</v>
      </c>
      <c r="K23" s="4" t="s">
        <v>177</v>
      </c>
      <c r="L23" s="4">
        <v>1750</v>
      </c>
      <c r="M23" s="4">
        <v>2000</v>
      </c>
    </row>
    <row r="24" spans="2:13" x14ac:dyDescent="0.4">
      <c r="B24" s="4" t="s">
        <v>9</v>
      </c>
      <c r="C24" s="175">
        <f>+C23*C$39</f>
        <v>-3000</v>
      </c>
      <c r="D24" s="175">
        <f t="shared" ref="D24:I24" si="3">+D23*D$39</f>
        <v>-476.64600000000002</v>
      </c>
      <c r="E24" s="175">
        <f t="shared" si="3"/>
        <v>-2803.614</v>
      </c>
      <c r="F24" s="175">
        <f t="shared" si="3"/>
        <v>-416.31299999999999</v>
      </c>
      <c r="G24" s="175">
        <f t="shared" si="3"/>
        <v>-2448.9090000000001</v>
      </c>
      <c r="H24" s="175">
        <f t="shared" si="3"/>
        <v>-363.63</v>
      </c>
      <c r="I24" s="175">
        <f t="shared" si="3"/>
        <v>-139.923</v>
      </c>
    </row>
    <row r="25" spans="2:13" ht="16.8" thickBot="1" x14ac:dyDescent="0.45">
      <c r="B25" s="4" t="s">
        <v>79</v>
      </c>
      <c r="C25" s="172">
        <f>+SUM(C24:I24)</f>
        <v>-9649.0349999999999</v>
      </c>
    </row>
    <row r="26" spans="2:13" ht="16.8" thickTop="1" x14ac:dyDescent="0.4"/>
    <row r="27" spans="2:13" x14ac:dyDescent="0.4">
      <c r="B27" s="12" t="s">
        <v>613</v>
      </c>
      <c r="C27" s="12"/>
      <c r="D27" s="173" t="s">
        <v>610</v>
      </c>
      <c r="E27" s="173"/>
      <c r="F27" s="173"/>
      <c r="G27" s="173" t="s">
        <v>611</v>
      </c>
      <c r="H27" s="173"/>
      <c r="I27" s="173"/>
    </row>
    <row r="28" spans="2:13" x14ac:dyDescent="0.4">
      <c r="D28" s="25" t="s">
        <v>607</v>
      </c>
      <c r="E28" s="29" t="s">
        <v>608</v>
      </c>
      <c r="F28" s="25" t="s">
        <v>62</v>
      </c>
      <c r="G28" s="29" t="s">
        <v>63</v>
      </c>
      <c r="H28" s="25" t="s">
        <v>64</v>
      </c>
      <c r="I28" s="29" t="s">
        <v>157</v>
      </c>
    </row>
    <row r="29" spans="2:13" x14ac:dyDescent="0.4">
      <c r="D29" s="27"/>
      <c r="E29" s="30"/>
      <c r="F29" s="27"/>
      <c r="G29" s="30"/>
      <c r="H29" s="27"/>
      <c r="I29" s="30"/>
    </row>
    <row r="30" spans="2:13" x14ac:dyDescent="0.4">
      <c r="B30" s="4" t="s">
        <v>614</v>
      </c>
      <c r="C30" s="4">
        <f>-M18</f>
        <v>-4000</v>
      </c>
      <c r="F30" s="4">
        <f>-M18</f>
        <v>-4000</v>
      </c>
    </row>
    <row r="31" spans="2:13" x14ac:dyDescent="0.4">
      <c r="B31" s="4" t="s">
        <v>615</v>
      </c>
      <c r="F31" s="4">
        <f>+M20</f>
        <v>400</v>
      </c>
      <c r="I31" s="4">
        <f>+M20</f>
        <v>400</v>
      </c>
    </row>
    <row r="32" spans="2:13" x14ac:dyDescent="0.4">
      <c r="B32" s="4" t="s">
        <v>173</v>
      </c>
      <c r="D32" s="4">
        <f>+M21*0.4</f>
        <v>480</v>
      </c>
      <c r="E32" s="4">
        <f>+D32</f>
        <v>480</v>
      </c>
      <c r="F32" s="4">
        <f t="shared" ref="F32:I32" si="4">+E32</f>
        <v>480</v>
      </c>
      <c r="G32" s="4">
        <f t="shared" si="4"/>
        <v>480</v>
      </c>
      <c r="H32" s="4">
        <f t="shared" si="4"/>
        <v>480</v>
      </c>
      <c r="I32" s="4">
        <f t="shared" si="4"/>
        <v>480</v>
      </c>
    </row>
    <row r="33" spans="1:9" x14ac:dyDescent="0.4">
      <c r="B33" s="4" t="s">
        <v>616</v>
      </c>
      <c r="D33" s="4">
        <f>-M23*0.6</f>
        <v>-1200</v>
      </c>
      <c r="E33" s="4">
        <f>+D33</f>
        <v>-1200</v>
      </c>
      <c r="F33" s="4">
        <f t="shared" ref="F33:I33" si="5">+E33</f>
        <v>-1200</v>
      </c>
      <c r="G33" s="4">
        <f t="shared" si="5"/>
        <v>-1200</v>
      </c>
      <c r="H33" s="4">
        <f t="shared" si="5"/>
        <v>-1200</v>
      </c>
      <c r="I33" s="4">
        <f t="shared" si="5"/>
        <v>-1200</v>
      </c>
    </row>
    <row r="34" spans="1:9" x14ac:dyDescent="0.4">
      <c r="B34" s="4" t="s">
        <v>175</v>
      </c>
      <c r="C34" s="175">
        <f>+SUM(C30:C33)</f>
        <v>-4000</v>
      </c>
      <c r="D34" s="175">
        <f t="shared" ref="D34" si="6">+SUM(D30:D33)</f>
        <v>-720</v>
      </c>
      <c r="E34" s="175">
        <f t="shared" ref="E34" si="7">+SUM(E30:E33)</f>
        <v>-720</v>
      </c>
      <c r="F34" s="175">
        <f t="shared" ref="F34" si="8">+SUM(F30:F33)</f>
        <v>-4320</v>
      </c>
      <c r="G34" s="175">
        <f t="shared" ref="G34" si="9">+SUM(G30:G33)</f>
        <v>-720</v>
      </c>
      <c r="H34" s="175">
        <f t="shared" ref="H34" si="10">+SUM(H30:H33)</f>
        <v>-720</v>
      </c>
      <c r="I34" s="175">
        <f t="shared" ref="I34" si="11">+SUM(I30:I33)</f>
        <v>-320</v>
      </c>
    </row>
    <row r="35" spans="1:9" x14ac:dyDescent="0.4">
      <c r="B35" s="4" t="s">
        <v>9</v>
      </c>
      <c r="C35" s="175">
        <f>+C34*C$39</f>
        <v>-4000</v>
      </c>
      <c r="D35" s="175">
        <f t="shared" ref="D35" si="12">+D34*D$39</f>
        <v>-672.91200000000003</v>
      </c>
      <c r="E35" s="175">
        <f t="shared" ref="E35" si="13">+E34*E$39</f>
        <v>-628.84799999999996</v>
      </c>
      <c r="F35" s="175">
        <f t="shared" ref="F35" si="14">+F34*F$39</f>
        <v>-3526.4160000000002</v>
      </c>
      <c r="G35" s="175">
        <f t="shared" ref="G35" si="15">+G34*G$39</f>
        <v>-549.28800000000001</v>
      </c>
      <c r="H35" s="175">
        <f t="shared" ref="H35" si="16">+H34*H$39</f>
        <v>-513.36</v>
      </c>
      <c r="I35" s="175">
        <f t="shared" ref="I35" si="17">+I34*I$39</f>
        <v>-213.21600000000001</v>
      </c>
    </row>
    <row r="36" spans="1:9" ht="16.8" thickBot="1" x14ac:dyDescent="0.45">
      <c r="B36" s="4" t="s">
        <v>79</v>
      </c>
      <c r="C36" s="172">
        <f>+SUM(C35:I35)</f>
        <v>-10104.040000000001</v>
      </c>
    </row>
    <row r="37" spans="1:9" ht="16.8" thickTop="1" x14ac:dyDescent="0.4"/>
    <row r="39" spans="1:9" x14ac:dyDescent="0.4">
      <c r="B39" s="4" t="s">
        <v>1</v>
      </c>
      <c r="C39" s="119">
        <v>1</v>
      </c>
      <c r="D39" s="119">
        <v>0.93459999999999999</v>
      </c>
      <c r="E39" s="119">
        <v>0.87339999999999995</v>
      </c>
      <c r="F39" s="119">
        <v>0.81630000000000003</v>
      </c>
      <c r="G39" s="119">
        <v>0.76290000000000002</v>
      </c>
      <c r="H39" s="119">
        <v>0.71299999999999997</v>
      </c>
      <c r="I39" s="119">
        <v>0.6663</v>
      </c>
    </row>
    <row r="41" spans="1:9" x14ac:dyDescent="0.4">
      <c r="B41" s="4" t="s">
        <v>621</v>
      </c>
      <c r="C41" s="82">
        <f>+C25-C36</f>
        <v>455.00500000000102</v>
      </c>
      <c r="D41" s="4" t="s">
        <v>622</v>
      </c>
    </row>
    <row r="43" spans="1:9" x14ac:dyDescent="0.4">
      <c r="A43" s="4" t="s">
        <v>620</v>
      </c>
    </row>
    <row r="44" spans="1:9" x14ac:dyDescent="0.4">
      <c r="B44" s="12" t="s">
        <v>613</v>
      </c>
      <c r="C44" s="12"/>
      <c r="D44" s="173" t="s">
        <v>610</v>
      </c>
      <c r="E44" s="173"/>
      <c r="F44" s="173"/>
      <c r="G44" s="173" t="s">
        <v>611</v>
      </c>
      <c r="H44" s="173"/>
      <c r="I44" s="173"/>
    </row>
    <row r="45" spans="1:9" x14ac:dyDescent="0.4">
      <c r="D45" s="25" t="s">
        <v>156</v>
      </c>
      <c r="E45" s="29" t="s">
        <v>155</v>
      </c>
      <c r="F45" s="25" t="s">
        <v>62</v>
      </c>
      <c r="G45" s="29" t="s">
        <v>63</v>
      </c>
      <c r="H45" s="25" t="s">
        <v>64</v>
      </c>
      <c r="I45" s="29" t="s">
        <v>157</v>
      </c>
    </row>
    <row r="46" spans="1:9" x14ac:dyDescent="0.4">
      <c r="D46" s="27"/>
      <c r="E46" s="30"/>
      <c r="F46" s="27"/>
      <c r="G46" s="30"/>
      <c r="H46" s="27"/>
      <c r="I46" s="30"/>
    </row>
    <row r="47" spans="1:9" x14ac:dyDescent="0.4">
      <c r="B47" s="4" t="s">
        <v>614</v>
      </c>
      <c r="C47" s="4">
        <f>+C30</f>
        <v>-4000</v>
      </c>
      <c r="F47" s="4">
        <f t="shared" ref="F47" si="18">+F30</f>
        <v>-4000</v>
      </c>
    </row>
    <row r="48" spans="1:9" x14ac:dyDescent="0.4">
      <c r="B48" s="4" t="s">
        <v>615</v>
      </c>
      <c r="F48" s="4">
        <f t="shared" ref="F48:I48" si="19">+F31</f>
        <v>400</v>
      </c>
      <c r="I48" s="4">
        <f t="shared" si="19"/>
        <v>400</v>
      </c>
    </row>
    <row r="49" spans="2:9" x14ac:dyDescent="0.4">
      <c r="B49" s="4" t="s">
        <v>173</v>
      </c>
      <c r="D49" s="4">
        <f t="shared" ref="D49:I49" si="20">+D32</f>
        <v>480</v>
      </c>
      <c r="E49" s="4">
        <f t="shared" si="20"/>
        <v>480</v>
      </c>
      <c r="F49" s="4">
        <f t="shared" si="20"/>
        <v>480</v>
      </c>
      <c r="G49" s="4">
        <f t="shared" si="20"/>
        <v>480</v>
      </c>
      <c r="H49" s="4">
        <f t="shared" si="20"/>
        <v>480</v>
      </c>
      <c r="I49" s="4">
        <f t="shared" si="20"/>
        <v>480</v>
      </c>
    </row>
    <row r="50" spans="2:9" x14ac:dyDescent="0.4">
      <c r="B50" s="4" t="s">
        <v>616</v>
      </c>
      <c r="D50" s="178" t="s">
        <v>626</v>
      </c>
      <c r="E50" s="179"/>
      <c r="F50" s="179"/>
      <c r="G50" s="179"/>
      <c r="H50" s="179"/>
      <c r="I50" s="180"/>
    </row>
    <row r="51" spans="2:9" x14ac:dyDescent="0.4">
      <c r="B51" s="4" t="s">
        <v>175</v>
      </c>
      <c r="C51" s="175">
        <f>+SUM(C47:C50)</f>
        <v>-4000</v>
      </c>
      <c r="D51" s="175">
        <f t="shared" ref="D51" si="21">+SUM(D47:D50)</f>
        <v>480</v>
      </c>
      <c r="E51" s="175">
        <f t="shared" ref="E51:I51" si="22">+SUM(E47:E50)</f>
        <v>480</v>
      </c>
      <c r="F51" s="175">
        <f t="shared" si="22"/>
        <v>-3120</v>
      </c>
      <c r="G51" s="175">
        <f t="shared" si="22"/>
        <v>480</v>
      </c>
      <c r="H51" s="175">
        <f t="shared" si="22"/>
        <v>480</v>
      </c>
      <c r="I51" s="175">
        <f t="shared" si="22"/>
        <v>880</v>
      </c>
    </row>
    <row r="52" spans="2:9" x14ac:dyDescent="0.4">
      <c r="B52" s="4" t="s">
        <v>9</v>
      </c>
      <c r="C52" s="175">
        <f>+C51*C$39</f>
        <v>-4000</v>
      </c>
      <c r="D52" s="175">
        <f t="shared" ref="D52:I52" si="23">+D51*D$39</f>
        <v>448.608</v>
      </c>
      <c r="E52" s="175">
        <f t="shared" si="23"/>
        <v>419.23199999999997</v>
      </c>
      <c r="F52" s="175">
        <f t="shared" si="23"/>
        <v>-2546.8560000000002</v>
      </c>
      <c r="G52" s="175">
        <f t="shared" si="23"/>
        <v>366.19200000000001</v>
      </c>
      <c r="H52" s="175">
        <f t="shared" si="23"/>
        <v>342.24</v>
      </c>
      <c r="I52" s="175">
        <f t="shared" si="23"/>
        <v>586.34400000000005</v>
      </c>
    </row>
    <row r="53" spans="2:9" x14ac:dyDescent="0.4">
      <c r="C53" s="39"/>
      <c r="D53" s="36"/>
      <c r="E53" s="36"/>
      <c r="F53" s="36"/>
      <c r="G53" s="36"/>
      <c r="H53" s="36"/>
      <c r="I53" s="36"/>
    </row>
    <row r="54" spans="2:9" ht="16.8" thickBot="1" x14ac:dyDescent="0.45">
      <c r="B54" s="4" t="s">
        <v>79</v>
      </c>
      <c r="C54" s="172">
        <f>+C25</f>
        <v>-9649.0349999999999</v>
      </c>
    </row>
    <row r="55" spans="2:9" ht="16.8" thickTop="1" x14ac:dyDescent="0.4"/>
    <row r="56" spans="2:9" x14ac:dyDescent="0.4">
      <c r="B56" s="4" t="s">
        <v>624</v>
      </c>
      <c r="D56" s="176">
        <f>+SUM(D39:I39)</f>
        <v>4.7664999999999997</v>
      </c>
      <c r="E56" s="175"/>
      <c r="F56" s="175"/>
      <c r="G56" s="175"/>
      <c r="H56" s="175"/>
      <c r="I56" s="177"/>
    </row>
    <row r="57" spans="2:9" x14ac:dyDescent="0.4">
      <c r="B57" s="4" t="s">
        <v>625</v>
      </c>
    </row>
    <row r="58" spans="2:9" x14ac:dyDescent="0.4">
      <c r="C58" s="47">
        <f>+SUM(C52:I52)-C54</f>
        <v>5264.7950000000001</v>
      </c>
    </row>
    <row r="59" spans="2:9" x14ac:dyDescent="0.4">
      <c r="B59" s="4" t="s">
        <v>627</v>
      </c>
      <c r="C59" s="181">
        <f>+C58/D56/0.6</f>
        <v>1840.9017797825099</v>
      </c>
      <c r="D59" s="4" t="s">
        <v>628</v>
      </c>
    </row>
  </sheetData>
  <phoneticPr fontId="3"/>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4"/>
  <sheetViews>
    <sheetView zoomScale="90" zoomScaleNormal="90" zoomScaleSheetLayoutView="100" workbookViewId="0">
      <selection activeCell="Q14" sqref="Q14"/>
    </sheetView>
  </sheetViews>
  <sheetFormatPr defaultColWidth="12" defaultRowHeight="16.2" x14ac:dyDescent="0.4"/>
  <cols>
    <col min="1" max="1" width="12.109375" style="4" customWidth="1"/>
    <col min="2" max="6" width="13.109375" style="4" customWidth="1"/>
    <col min="7" max="8" width="12.6640625" style="4" customWidth="1"/>
    <col min="9" max="11" width="13.109375" style="4" customWidth="1"/>
    <col min="12" max="12" width="12" style="4"/>
    <col min="13" max="13" width="11.88671875" style="4" customWidth="1"/>
    <col min="14" max="16384" width="12" style="4"/>
  </cols>
  <sheetData>
    <row r="1" spans="1:22" x14ac:dyDescent="0.4">
      <c r="A1" s="1" t="s">
        <v>302</v>
      </c>
      <c r="B1" s="2"/>
      <c r="C1" s="2"/>
      <c r="D1" s="2"/>
      <c r="E1" s="2"/>
      <c r="F1" s="2"/>
      <c r="G1" s="2"/>
      <c r="H1" s="2"/>
      <c r="I1" s="2"/>
      <c r="J1" s="2"/>
      <c r="K1" s="2"/>
      <c r="L1" s="2"/>
      <c r="M1" s="2"/>
      <c r="N1" s="2"/>
      <c r="O1" s="2"/>
      <c r="P1" s="2"/>
      <c r="Q1" s="2"/>
      <c r="R1" s="3"/>
    </row>
    <row r="2" spans="1:22" x14ac:dyDescent="0.4">
      <c r="A2" s="5" t="s">
        <v>286</v>
      </c>
      <c r="B2" s="6"/>
      <c r="C2" s="6"/>
      <c r="D2" s="6"/>
      <c r="E2" s="6"/>
      <c r="F2" s="6"/>
      <c r="G2" s="6"/>
      <c r="H2" s="6"/>
      <c r="I2" s="6"/>
      <c r="J2" s="6"/>
      <c r="K2" s="6"/>
      <c r="L2" s="6"/>
      <c r="M2" s="6"/>
      <c r="N2" s="6"/>
      <c r="O2" s="6"/>
      <c r="P2" s="6"/>
      <c r="Q2" s="6"/>
      <c r="R2" s="7"/>
    </row>
    <row r="3" spans="1:22" x14ac:dyDescent="0.4">
      <c r="A3" s="8" t="s">
        <v>847</v>
      </c>
      <c r="B3" s="9"/>
      <c r="C3" s="9"/>
      <c r="D3" s="9"/>
      <c r="E3" s="9"/>
      <c r="F3" s="9"/>
      <c r="G3" s="9"/>
      <c r="H3" s="9"/>
      <c r="I3" s="9"/>
      <c r="J3" s="9"/>
      <c r="K3" s="9"/>
      <c r="L3" s="9"/>
      <c r="M3" s="9"/>
      <c r="N3" s="9"/>
      <c r="O3" s="9"/>
      <c r="P3" s="9"/>
      <c r="Q3" s="9"/>
      <c r="R3" s="10"/>
    </row>
    <row r="4" spans="1:22" s="12" customFormat="1" x14ac:dyDescent="0.4">
      <c r="A4" s="11"/>
      <c r="B4" s="11"/>
      <c r="C4" s="11"/>
      <c r="D4" s="11"/>
      <c r="E4" s="11"/>
      <c r="F4" s="11"/>
      <c r="G4" s="11"/>
      <c r="H4" s="11"/>
      <c r="I4" s="11"/>
      <c r="J4" s="11"/>
      <c r="K4" s="11"/>
      <c r="L4" s="11"/>
      <c r="M4" s="11"/>
      <c r="N4" s="11"/>
      <c r="O4" s="11"/>
      <c r="P4" s="11"/>
      <c r="Q4" s="11"/>
      <c r="R4" s="11"/>
    </row>
    <row r="5" spans="1:22" ht="18" customHeight="1" x14ac:dyDescent="0.4">
      <c r="A5" s="13" t="s">
        <v>846</v>
      </c>
      <c r="B5" s="14"/>
      <c r="C5" s="14"/>
      <c r="D5" s="14"/>
      <c r="E5" s="14"/>
      <c r="F5" s="14"/>
      <c r="G5" s="14"/>
      <c r="H5" s="14"/>
      <c r="I5" s="14"/>
      <c r="J5" s="14"/>
      <c r="K5" s="14"/>
      <c r="L5" s="14"/>
      <c r="M5" s="14"/>
      <c r="N5" s="14"/>
      <c r="O5" s="14"/>
      <c r="P5" s="14"/>
      <c r="Q5" s="14"/>
      <c r="R5" s="14"/>
      <c r="S5" s="15"/>
    </row>
    <row r="6" spans="1:22" x14ac:dyDescent="0.4">
      <c r="A6" s="16" t="s">
        <v>845</v>
      </c>
      <c r="B6" s="17"/>
      <c r="C6" s="17"/>
      <c r="D6" s="17"/>
      <c r="E6" s="17"/>
      <c r="F6" s="17"/>
      <c r="G6" s="17"/>
      <c r="H6" s="17"/>
      <c r="I6" s="17"/>
      <c r="J6" s="17"/>
      <c r="K6" s="17"/>
      <c r="L6" s="17"/>
      <c r="M6" s="17"/>
      <c r="N6" s="17"/>
      <c r="O6" s="17"/>
      <c r="P6" s="17"/>
      <c r="Q6" s="17"/>
      <c r="R6" s="17"/>
      <c r="S6" s="18"/>
    </row>
    <row r="7" spans="1:22" x14ac:dyDescent="0.4">
      <c r="A7" s="19" t="s">
        <v>844</v>
      </c>
      <c r="B7" s="20"/>
      <c r="C7" s="20"/>
      <c r="D7" s="20"/>
      <c r="E7" s="20"/>
      <c r="F7" s="20"/>
      <c r="G7" s="20"/>
      <c r="H7" s="20"/>
      <c r="I7" s="20"/>
      <c r="J7" s="46"/>
      <c r="K7" s="20"/>
      <c r="L7" s="20"/>
      <c r="M7" s="20"/>
      <c r="N7" s="20"/>
      <c r="O7" s="20"/>
      <c r="P7" s="20"/>
      <c r="Q7" s="20"/>
      <c r="R7" s="20"/>
      <c r="S7" s="21"/>
    </row>
    <row r="8" spans="1:22" s="12" customFormat="1" ht="17.25" customHeight="1" x14ac:dyDescent="0.4">
      <c r="D8" s="22"/>
      <c r="E8" s="22"/>
      <c r="F8" s="22"/>
      <c r="G8" s="22"/>
      <c r="H8" s="22"/>
      <c r="I8" s="22"/>
      <c r="J8" s="22"/>
      <c r="K8" s="22"/>
      <c r="L8" s="22"/>
      <c r="M8" s="22"/>
      <c r="N8" s="22"/>
      <c r="O8" s="22"/>
      <c r="P8" s="22"/>
      <c r="Q8" s="22"/>
      <c r="R8" s="22"/>
      <c r="S8" s="22"/>
      <c r="T8" s="22"/>
      <c r="U8" s="22"/>
      <c r="V8" s="22"/>
    </row>
    <row r="9" spans="1:22" x14ac:dyDescent="0.4">
      <c r="A9" s="4" t="s">
        <v>814</v>
      </c>
      <c r="F9" s="4" t="s">
        <v>843</v>
      </c>
      <c r="G9" s="183" t="s">
        <v>842</v>
      </c>
    </row>
    <row r="10" spans="1:22" x14ac:dyDescent="0.4">
      <c r="A10" s="4" t="s">
        <v>841</v>
      </c>
      <c r="D10" s="4" t="s">
        <v>342</v>
      </c>
      <c r="F10" s="4" t="s">
        <v>840</v>
      </c>
      <c r="H10" s="4" t="s">
        <v>839</v>
      </c>
    </row>
    <row r="11" spans="1:22" x14ac:dyDescent="0.4">
      <c r="C11" s="4" t="s">
        <v>191</v>
      </c>
      <c r="D11" s="4">
        <v>4500</v>
      </c>
      <c r="H11" s="4">
        <v>900</v>
      </c>
    </row>
    <row r="12" spans="1:22" x14ac:dyDescent="0.4">
      <c r="A12" s="4" t="s">
        <v>400</v>
      </c>
      <c r="C12" s="4">
        <v>600</v>
      </c>
      <c r="G12" s="4">
        <v>400</v>
      </c>
    </row>
    <row r="13" spans="1:22" x14ac:dyDescent="0.4">
      <c r="A13" s="4" t="s">
        <v>838</v>
      </c>
      <c r="C13" s="4">
        <v>290</v>
      </c>
      <c r="G13" s="4">
        <f>+C13</f>
        <v>290</v>
      </c>
    </row>
    <row r="14" spans="1:22" x14ac:dyDescent="0.4">
      <c r="A14" s="4" t="s">
        <v>837</v>
      </c>
      <c r="B14" s="4" t="s">
        <v>836</v>
      </c>
      <c r="C14" s="4">
        <v>30</v>
      </c>
      <c r="G14" s="4">
        <v>0</v>
      </c>
    </row>
    <row r="15" spans="1:22" x14ac:dyDescent="0.4">
      <c r="B15" s="4" t="s">
        <v>835</v>
      </c>
      <c r="C15" s="4">
        <v>10</v>
      </c>
      <c r="G15" s="4">
        <f>+C15</f>
        <v>10</v>
      </c>
    </row>
    <row r="16" spans="1:22" x14ac:dyDescent="0.4">
      <c r="A16" s="4" t="s">
        <v>352</v>
      </c>
      <c r="C16" s="175">
        <f>+C12-SUM(C13:C15)</f>
        <v>270</v>
      </c>
      <c r="F16" s="4" t="s">
        <v>834</v>
      </c>
      <c r="G16" s="206">
        <f>+G12-SUM(G13:G15)</f>
        <v>100</v>
      </c>
      <c r="H16" s="4" t="s">
        <v>833</v>
      </c>
    </row>
    <row r="17" spans="1:9" x14ac:dyDescent="0.4">
      <c r="G17" s="183" t="s">
        <v>832</v>
      </c>
    </row>
    <row r="18" spans="1:9" x14ac:dyDescent="0.4">
      <c r="A18" s="185" t="s">
        <v>831</v>
      </c>
      <c r="B18" s="185"/>
      <c r="C18" s="185"/>
      <c r="D18" s="185">
        <v>1000000</v>
      </c>
    </row>
    <row r="19" spans="1:9" x14ac:dyDescent="0.4">
      <c r="A19" s="185" t="s">
        <v>759</v>
      </c>
      <c r="B19" s="185"/>
      <c r="C19" s="185"/>
      <c r="D19" s="185">
        <v>100000</v>
      </c>
    </row>
    <row r="20" spans="1:9" x14ac:dyDescent="0.4">
      <c r="A20" s="183" t="s">
        <v>830</v>
      </c>
    </row>
    <row r="21" spans="1:9" x14ac:dyDescent="0.4">
      <c r="F21" s="4" t="s">
        <v>829</v>
      </c>
      <c r="G21" s="183" t="s">
        <v>828</v>
      </c>
    </row>
    <row r="22" spans="1:9" x14ac:dyDescent="0.4">
      <c r="F22" s="4" t="s">
        <v>827</v>
      </c>
    </row>
    <row r="24" spans="1:9" x14ac:dyDescent="0.4">
      <c r="F24" s="4" t="s">
        <v>826</v>
      </c>
    </row>
    <row r="25" spans="1:9" x14ac:dyDescent="0.4">
      <c r="G25" s="4" t="s">
        <v>352</v>
      </c>
      <c r="H25" s="136">
        <f>+G16*H11</f>
        <v>90000</v>
      </c>
    </row>
    <row r="27" spans="1:9" x14ac:dyDescent="0.4">
      <c r="F27" s="4" t="s">
        <v>825</v>
      </c>
    </row>
    <row r="28" spans="1:9" x14ac:dyDescent="0.4">
      <c r="G28" s="4" t="s">
        <v>824</v>
      </c>
      <c r="H28" s="136">
        <f>+D11*30</f>
        <v>135000</v>
      </c>
    </row>
    <row r="30" spans="1:9" x14ac:dyDescent="0.4">
      <c r="G30" s="118" t="s">
        <v>772</v>
      </c>
      <c r="H30" s="82">
        <f>+H25-H28</f>
        <v>-45000</v>
      </c>
      <c r="I30" s="4" t="s">
        <v>823</v>
      </c>
    </row>
    <row r="33" spans="1:19" x14ac:dyDescent="0.4">
      <c r="F33" s="4" t="s">
        <v>822</v>
      </c>
    </row>
    <row r="34" spans="1:19" x14ac:dyDescent="0.4">
      <c r="F34" s="4" t="s">
        <v>821</v>
      </c>
    </row>
    <row r="36" spans="1:19" x14ac:dyDescent="0.4">
      <c r="F36" s="4" t="s">
        <v>820</v>
      </c>
    </row>
    <row r="37" spans="1:19" x14ac:dyDescent="0.4">
      <c r="G37" s="4" t="s">
        <v>819</v>
      </c>
      <c r="H37" s="32">
        <f>+H25/D11</f>
        <v>20</v>
      </c>
    </row>
    <row r="38" spans="1:19" x14ac:dyDescent="0.4">
      <c r="H38" s="82">
        <f>+C12-H37</f>
        <v>580</v>
      </c>
      <c r="I38" s="4" t="s">
        <v>818</v>
      </c>
    </row>
    <row r="40" spans="1:19" ht="18" customHeight="1" x14ac:dyDescent="0.4">
      <c r="A40" s="13" t="s">
        <v>817</v>
      </c>
      <c r="B40" s="14"/>
      <c r="C40" s="14"/>
      <c r="D40" s="14"/>
      <c r="E40" s="14"/>
      <c r="F40" s="14"/>
      <c r="G40" s="14"/>
      <c r="H40" s="14"/>
      <c r="I40" s="14"/>
      <c r="J40" s="14"/>
      <c r="K40" s="14"/>
      <c r="L40" s="14"/>
      <c r="M40" s="14"/>
      <c r="N40" s="14"/>
      <c r="O40" s="14"/>
      <c r="P40" s="14"/>
      <c r="Q40" s="14"/>
      <c r="R40" s="14"/>
      <c r="S40" s="15"/>
    </row>
    <row r="41" spans="1:19" x14ac:dyDescent="0.4">
      <c r="A41" s="16" t="s">
        <v>816</v>
      </c>
      <c r="B41" s="17"/>
      <c r="C41" s="17"/>
      <c r="D41" s="17"/>
      <c r="E41" s="17"/>
      <c r="F41" s="17"/>
      <c r="G41" s="17"/>
      <c r="H41" s="17"/>
      <c r="I41" s="17"/>
      <c r="J41" s="17"/>
      <c r="K41" s="17"/>
      <c r="L41" s="17"/>
      <c r="M41" s="17"/>
      <c r="N41" s="17"/>
      <c r="O41" s="17"/>
      <c r="P41" s="17"/>
      <c r="Q41" s="17"/>
      <c r="R41" s="17"/>
      <c r="S41" s="18"/>
    </row>
    <row r="42" spans="1:19" x14ac:dyDescent="0.4">
      <c r="A42" s="19" t="s">
        <v>815</v>
      </c>
      <c r="B42" s="20"/>
      <c r="C42" s="20"/>
      <c r="D42" s="20"/>
      <c r="E42" s="20"/>
      <c r="F42" s="20"/>
      <c r="G42" s="20"/>
      <c r="H42" s="20"/>
      <c r="I42" s="20"/>
      <c r="J42" s="46"/>
      <c r="K42" s="20"/>
      <c r="L42" s="20"/>
      <c r="M42" s="20"/>
      <c r="N42" s="20"/>
      <c r="O42" s="20"/>
      <c r="P42" s="20"/>
      <c r="Q42" s="20"/>
      <c r="R42" s="20"/>
      <c r="S42" s="21"/>
    </row>
    <row r="44" spans="1:19" x14ac:dyDescent="0.4">
      <c r="A44" s="4" t="s">
        <v>814</v>
      </c>
    </row>
    <row r="45" spans="1:19" x14ac:dyDescent="0.4">
      <c r="A45" s="4" t="s">
        <v>289</v>
      </c>
      <c r="G45" s="38" t="s">
        <v>813</v>
      </c>
    </row>
    <row r="46" spans="1:19" x14ac:dyDescent="0.4">
      <c r="B46" s="4" t="s">
        <v>191</v>
      </c>
      <c r="C46" s="4" t="s">
        <v>365</v>
      </c>
      <c r="G46" s="4" t="s">
        <v>812</v>
      </c>
      <c r="H46" s="4">
        <v>3500000</v>
      </c>
    </row>
    <row r="47" spans="1:19" x14ac:dyDescent="0.4">
      <c r="A47" s="4" t="s">
        <v>811</v>
      </c>
      <c r="G47" s="4" t="s">
        <v>810</v>
      </c>
      <c r="H47" s="4">
        <v>20000</v>
      </c>
    </row>
    <row r="48" spans="1:19" x14ac:dyDescent="0.4">
      <c r="A48" s="4" t="s">
        <v>657</v>
      </c>
      <c r="D48" s="4">
        <v>4000</v>
      </c>
    </row>
    <row r="49" spans="1:20" x14ac:dyDescent="0.4">
      <c r="A49" s="4" t="s">
        <v>658</v>
      </c>
      <c r="B49" s="4">
        <v>500</v>
      </c>
      <c r="C49" s="4">
        <v>4</v>
      </c>
      <c r="D49" s="4">
        <f>+B49*C49</f>
        <v>2000</v>
      </c>
      <c r="G49" s="4" t="s">
        <v>809</v>
      </c>
      <c r="H49" s="4">
        <v>125</v>
      </c>
      <c r="I49" s="4" t="s">
        <v>378</v>
      </c>
    </row>
    <row r="50" spans="1:20" x14ac:dyDescent="0.4">
      <c r="A50" s="4" t="s">
        <v>446</v>
      </c>
      <c r="B50" s="136">
        <f>+H49</f>
        <v>125</v>
      </c>
      <c r="C50" s="4">
        <v>4</v>
      </c>
      <c r="D50" s="4">
        <f>+B50*C50</f>
        <v>500</v>
      </c>
      <c r="G50" s="4" t="s">
        <v>808</v>
      </c>
      <c r="H50" s="4">
        <f>+H46-H47*H49</f>
        <v>1000000</v>
      </c>
      <c r="I50" s="4" t="s">
        <v>807</v>
      </c>
    </row>
    <row r="51" spans="1:20" x14ac:dyDescent="0.4">
      <c r="A51" s="4" t="s">
        <v>806</v>
      </c>
      <c r="D51" s="175">
        <f>+SUM(D48:D50)</f>
        <v>6500</v>
      </c>
    </row>
    <row r="52" spans="1:20" x14ac:dyDescent="0.4">
      <c r="K52" s="183" t="s">
        <v>805</v>
      </c>
    </row>
    <row r="53" spans="1:20" x14ac:dyDescent="0.4">
      <c r="K53" s="183" t="s">
        <v>804</v>
      </c>
    </row>
    <row r="54" spans="1:20" x14ac:dyDescent="0.4">
      <c r="A54" s="4" t="s">
        <v>803</v>
      </c>
      <c r="G54" s="4" t="s">
        <v>802</v>
      </c>
      <c r="K54" s="185" t="s">
        <v>801</v>
      </c>
      <c r="L54" s="185"/>
      <c r="M54" s="185"/>
      <c r="N54" s="185"/>
      <c r="O54" s="185"/>
      <c r="P54" s="185"/>
      <c r="Q54" s="185"/>
      <c r="R54" s="185"/>
      <c r="S54" s="185"/>
      <c r="T54" s="185"/>
    </row>
    <row r="55" spans="1:20" x14ac:dyDescent="0.4">
      <c r="A55" s="4" t="s">
        <v>800</v>
      </c>
      <c r="G55" s="4" t="s">
        <v>799</v>
      </c>
      <c r="K55" s="185" t="s">
        <v>798</v>
      </c>
      <c r="L55" s="185"/>
      <c r="M55" s="185"/>
      <c r="N55" s="185"/>
      <c r="O55" s="185"/>
      <c r="P55" s="185"/>
      <c r="Q55" s="185"/>
      <c r="R55" s="185"/>
      <c r="S55" s="185"/>
      <c r="T55" s="185"/>
    </row>
    <row r="56" spans="1:20" x14ac:dyDescent="0.4">
      <c r="G56" s="4" t="s">
        <v>797</v>
      </c>
      <c r="K56" s="185" t="s">
        <v>796</v>
      </c>
      <c r="L56" s="185"/>
      <c r="M56" s="185"/>
      <c r="N56" s="185"/>
      <c r="O56" s="185"/>
      <c r="P56" s="185"/>
      <c r="Q56" s="185"/>
      <c r="R56" s="185"/>
      <c r="S56" s="185"/>
      <c r="T56" s="185"/>
    </row>
    <row r="57" spans="1:20" x14ac:dyDescent="0.4">
      <c r="K57" s="185" t="s">
        <v>795</v>
      </c>
      <c r="L57" s="185"/>
      <c r="M57" s="185"/>
      <c r="N57" s="185"/>
      <c r="O57" s="185"/>
      <c r="P57" s="185"/>
      <c r="Q57" s="185"/>
      <c r="R57" s="185"/>
      <c r="S57" s="185"/>
      <c r="T57" s="185"/>
    </row>
    <row r="58" spans="1:20" x14ac:dyDescent="0.4">
      <c r="K58" s="185"/>
      <c r="L58" s="185"/>
      <c r="M58" s="185"/>
      <c r="N58" s="185"/>
      <c r="O58" s="185"/>
      <c r="P58" s="185"/>
      <c r="Q58" s="185"/>
      <c r="R58" s="185"/>
      <c r="S58" s="185"/>
      <c r="T58" s="185"/>
    </row>
    <row r="59" spans="1:20" x14ac:dyDescent="0.4">
      <c r="B59" s="4" t="s">
        <v>794</v>
      </c>
      <c r="C59" s="4" t="s">
        <v>793</v>
      </c>
      <c r="G59" s="4" t="s">
        <v>793</v>
      </c>
      <c r="K59" s="185"/>
      <c r="L59" s="185" t="s">
        <v>792</v>
      </c>
      <c r="M59" s="185"/>
      <c r="N59" s="185"/>
      <c r="O59" s="185"/>
      <c r="P59" s="185"/>
      <c r="Q59" s="185" t="s">
        <v>791</v>
      </c>
      <c r="R59" s="185"/>
      <c r="S59" s="185"/>
      <c r="T59" s="185"/>
    </row>
    <row r="60" spans="1:20" x14ac:dyDescent="0.4">
      <c r="C60" s="4" t="s">
        <v>342</v>
      </c>
      <c r="D60" s="32">
        <v>100</v>
      </c>
      <c r="G60" s="4" t="s">
        <v>342</v>
      </c>
      <c r="H60" s="32" t="s">
        <v>790</v>
      </c>
      <c r="K60" s="185"/>
      <c r="L60" s="185" t="s">
        <v>342</v>
      </c>
      <c r="M60" s="185">
        <v>100</v>
      </c>
      <c r="N60" s="185"/>
      <c r="O60" s="185"/>
      <c r="P60" s="185"/>
      <c r="Q60" s="185"/>
      <c r="R60" s="185"/>
      <c r="S60" s="185"/>
      <c r="T60" s="185"/>
    </row>
    <row r="61" spans="1:20" x14ac:dyDescent="0.4">
      <c r="C61" s="4" t="s">
        <v>191</v>
      </c>
      <c r="D61" s="4" t="s">
        <v>365</v>
      </c>
      <c r="K61" s="185"/>
      <c r="L61" s="185" t="s">
        <v>191</v>
      </c>
      <c r="M61" s="185" t="s">
        <v>365</v>
      </c>
      <c r="N61" s="185"/>
      <c r="O61" s="185" t="s">
        <v>774</v>
      </c>
      <c r="P61" s="185"/>
      <c r="Q61" s="185" t="s">
        <v>191</v>
      </c>
      <c r="R61" s="185" t="s">
        <v>365</v>
      </c>
      <c r="S61" s="185"/>
      <c r="T61" s="185" t="s">
        <v>774</v>
      </c>
    </row>
    <row r="62" spans="1:20" x14ac:dyDescent="0.4">
      <c r="A62" s="4" t="s">
        <v>789</v>
      </c>
      <c r="B62" s="4">
        <v>3250</v>
      </c>
      <c r="K62" s="185" t="s">
        <v>789</v>
      </c>
      <c r="L62" s="185"/>
      <c r="M62" s="185"/>
      <c r="N62" s="32">
        <v>1820</v>
      </c>
      <c r="O62" s="185">
        <f>+N62*M60</f>
        <v>182000</v>
      </c>
      <c r="P62" s="185"/>
      <c r="Q62" s="185"/>
      <c r="R62" s="185"/>
      <c r="S62" s="32">
        <f>+B62</f>
        <v>3250</v>
      </c>
      <c r="T62" s="185">
        <f>+S62*M60</f>
        <v>325000</v>
      </c>
    </row>
    <row r="63" spans="1:20" x14ac:dyDescent="0.4">
      <c r="A63" s="4" t="s">
        <v>657</v>
      </c>
      <c r="E63" s="4">
        <v>2200</v>
      </c>
      <c r="G63" s="4" t="s">
        <v>788</v>
      </c>
      <c r="K63" s="185" t="s">
        <v>657</v>
      </c>
      <c r="L63" s="185"/>
      <c r="M63" s="185"/>
      <c r="N63" s="185">
        <f>+E63</f>
        <v>2200</v>
      </c>
      <c r="O63" s="185"/>
      <c r="P63" s="185"/>
      <c r="Q63" s="185"/>
      <c r="R63" s="185"/>
      <c r="S63" s="185">
        <v>750</v>
      </c>
      <c r="T63" s="185"/>
    </row>
    <row r="64" spans="1:20" x14ac:dyDescent="0.4">
      <c r="A64" s="4" t="s">
        <v>658</v>
      </c>
      <c r="C64" s="4">
        <v>350</v>
      </c>
      <c r="D64" s="4">
        <v>2</v>
      </c>
      <c r="E64" s="4">
        <f>+C64*D64</f>
        <v>700</v>
      </c>
      <c r="G64" s="118" t="s">
        <v>787</v>
      </c>
      <c r="H64" s="82">
        <f>9000/(B66-E66)</f>
        <v>90</v>
      </c>
      <c r="K64" s="185" t="s">
        <v>658</v>
      </c>
      <c r="L64" s="185">
        <f>+C64</f>
        <v>350</v>
      </c>
      <c r="M64" s="185">
        <f>+D64</f>
        <v>2</v>
      </c>
      <c r="N64" s="185">
        <f>+E64</f>
        <v>700</v>
      </c>
      <c r="O64" s="185"/>
      <c r="P64" s="185"/>
      <c r="Q64" s="185">
        <v>280</v>
      </c>
      <c r="R64" s="185">
        <v>2</v>
      </c>
      <c r="S64" s="185">
        <f>+Q64*R64</f>
        <v>560</v>
      </c>
      <c r="T64" s="185"/>
    </row>
    <row r="65" spans="1:20" x14ac:dyDescent="0.4">
      <c r="A65" s="4" t="s">
        <v>446</v>
      </c>
      <c r="C65" s="4">
        <f>+B50</f>
        <v>125</v>
      </c>
      <c r="D65" s="4">
        <v>2</v>
      </c>
      <c r="E65" s="4">
        <f>+C65*D65</f>
        <v>250</v>
      </c>
      <c r="H65" s="4" t="s">
        <v>786</v>
      </c>
      <c r="K65" s="185" t="s">
        <v>446</v>
      </c>
      <c r="L65" s="185">
        <f>+C65</f>
        <v>125</v>
      </c>
      <c r="M65" s="185">
        <f>+D65</f>
        <v>2</v>
      </c>
      <c r="N65" s="185">
        <f>+E65</f>
        <v>250</v>
      </c>
      <c r="O65" s="185"/>
      <c r="P65" s="185"/>
      <c r="Q65" s="185">
        <v>125</v>
      </c>
      <c r="R65" s="185">
        <v>2</v>
      </c>
      <c r="S65" s="185">
        <f>+Q65*R65</f>
        <v>250</v>
      </c>
      <c r="T65" s="185"/>
    </row>
    <row r="66" spans="1:20" x14ac:dyDescent="0.4">
      <c r="A66" s="4" t="s">
        <v>785</v>
      </c>
      <c r="B66" s="179">
        <f>+B62</f>
        <v>3250</v>
      </c>
      <c r="E66" s="179">
        <f>+SUM(E63:E65)</f>
        <v>3150</v>
      </c>
      <c r="K66" s="185" t="s">
        <v>785</v>
      </c>
      <c r="L66" s="185"/>
      <c r="M66" s="185"/>
      <c r="N66" s="205">
        <f>+E66</f>
        <v>3150</v>
      </c>
      <c r="O66" s="185">
        <f>+N66*M60</f>
        <v>315000</v>
      </c>
      <c r="P66" s="185"/>
      <c r="Q66" s="185"/>
      <c r="R66" s="185"/>
      <c r="S66" s="205">
        <f>+SUM(S63:S65)</f>
        <v>1560</v>
      </c>
      <c r="T66" s="185">
        <f>+S66*M60</f>
        <v>156000</v>
      </c>
    </row>
    <row r="67" spans="1:20" x14ac:dyDescent="0.4">
      <c r="K67" s="185"/>
      <c r="L67" s="185"/>
      <c r="M67" s="185"/>
      <c r="N67" s="185"/>
      <c r="O67" s="205">
        <f>+O62+O66</f>
        <v>497000</v>
      </c>
      <c r="P67" s="185"/>
      <c r="Q67" s="185"/>
      <c r="R67" s="185"/>
      <c r="S67" s="185"/>
      <c r="T67" s="205">
        <f>+T62+T66</f>
        <v>481000</v>
      </c>
    </row>
    <row r="68" spans="1:20" x14ac:dyDescent="0.4">
      <c r="K68" s="185" t="s">
        <v>784</v>
      </c>
      <c r="L68" s="185"/>
      <c r="M68" s="185"/>
      <c r="N68" s="185"/>
      <c r="O68" s="185">
        <v>9000</v>
      </c>
      <c r="P68" s="185"/>
      <c r="Q68" s="185"/>
      <c r="R68" s="185"/>
      <c r="S68" s="185"/>
      <c r="T68" s="185"/>
    </row>
    <row r="69" spans="1:20" ht="16.8" thickBot="1" x14ac:dyDescent="0.45">
      <c r="A69" s="4" t="s">
        <v>459</v>
      </c>
      <c r="B69" s="136">
        <f>+B66*D60</f>
        <v>325000</v>
      </c>
      <c r="E69" s="136">
        <f>+D60*E66</f>
        <v>315000</v>
      </c>
      <c r="K69" s="185" t="s">
        <v>459</v>
      </c>
      <c r="L69" s="185"/>
      <c r="M69" s="185"/>
      <c r="N69" s="185"/>
      <c r="O69" s="204">
        <f>+O67+O68</f>
        <v>506000</v>
      </c>
      <c r="P69" s="185"/>
      <c r="Q69" s="185"/>
      <c r="R69" s="185"/>
      <c r="S69" s="185"/>
      <c r="T69" s="204">
        <f>+T67+T68</f>
        <v>481000</v>
      </c>
    </row>
    <row r="70" spans="1:20" ht="16.8" thickTop="1" x14ac:dyDescent="0.4">
      <c r="K70" s="185"/>
      <c r="L70" s="185"/>
      <c r="M70" s="185"/>
      <c r="N70" s="185"/>
      <c r="O70" s="185"/>
      <c r="P70" s="185"/>
      <c r="Q70" s="185"/>
      <c r="R70" s="185"/>
      <c r="S70" s="185"/>
      <c r="T70" s="185"/>
    </row>
    <row r="71" spans="1:20" x14ac:dyDescent="0.4">
      <c r="D71" s="4" t="s">
        <v>782</v>
      </c>
      <c r="E71" s="82">
        <f>+B69-E69</f>
        <v>10000</v>
      </c>
      <c r="F71" s="4" t="s">
        <v>783</v>
      </c>
      <c r="K71" s="185"/>
      <c r="L71" s="185"/>
      <c r="M71" s="185"/>
      <c r="N71" s="185" t="s">
        <v>782</v>
      </c>
      <c r="O71" s="82">
        <f>+O69-T69</f>
        <v>25000</v>
      </c>
      <c r="P71" s="185" t="s">
        <v>781</v>
      </c>
      <c r="Q71" s="185"/>
      <c r="R71" s="185"/>
      <c r="S71" s="185"/>
      <c r="T71" s="185"/>
    </row>
    <row r="72" spans="1:20" x14ac:dyDescent="0.4">
      <c r="K72" s="185"/>
      <c r="L72" s="185"/>
      <c r="M72" s="185"/>
      <c r="N72" s="185"/>
      <c r="O72" s="185"/>
      <c r="P72" s="185"/>
      <c r="Q72" s="185"/>
      <c r="R72" s="185"/>
      <c r="S72" s="185"/>
      <c r="T72" s="185"/>
    </row>
    <row r="76" spans="1:20" x14ac:dyDescent="0.4">
      <c r="A76" s="13" t="s">
        <v>780</v>
      </c>
      <c r="B76" s="14"/>
      <c r="C76" s="14"/>
      <c r="D76" s="14"/>
      <c r="E76" s="14"/>
      <c r="F76" s="14"/>
      <c r="G76" s="14"/>
      <c r="H76" s="14"/>
      <c r="I76" s="14"/>
      <c r="J76" s="14"/>
      <c r="K76" s="14"/>
      <c r="L76" s="14"/>
      <c r="M76" s="14"/>
      <c r="N76" s="14"/>
      <c r="O76" s="14"/>
      <c r="P76" s="14"/>
      <c r="Q76" s="14"/>
      <c r="R76" s="14"/>
      <c r="S76" s="15"/>
    </row>
    <row r="77" spans="1:20" x14ac:dyDescent="0.4">
      <c r="A77" s="16" t="s">
        <v>779</v>
      </c>
      <c r="B77" s="17"/>
      <c r="C77" s="17"/>
      <c r="D77" s="17"/>
      <c r="E77" s="17"/>
      <c r="F77" s="17"/>
      <c r="G77" s="17"/>
      <c r="H77" s="17"/>
      <c r="I77" s="17"/>
      <c r="J77" s="17"/>
      <c r="K77" s="17"/>
      <c r="L77" s="17"/>
      <c r="M77" s="17"/>
      <c r="N77" s="17"/>
      <c r="O77" s="17"/>
      <c r="P77" s="17"/>
      <c r="Q77" s="17"/>
      <c r="R77" s="17"/>
      <c r="S77" s="18"/>
    </row>
    <row r="78" spans="1:20" x14ac:dyDescent="0.4">
      <c r="A78" s="19" t="s">
        <v>778</v>
      </c>
      <c r="B78" s="20"/>
      <c r="C78" s="20"/>
      <c r="D78" s="20"/>
      <c r="E78" s="20"/>
      <c r="F78" s="20"/>
      <c r="G78" s="20"/>
      <c r="H78" s="20"/>
      <c r="I78" s="20"/>
      <c r="J78" s="46"/>
      <c r="K78" s="20"/>
      <c r="L78" s="20"/>
      <c r="M78" s="20"/>
      <c r="N78" s="20"/>
      <c r="O78" s="20"/>
      <c r="P78" s="20"/>
      <c r="Q78" s="20"/>
      <c r="R78" s="20"/>
      <c r="S78" s="21"/>
    </row>
    <row r="80" spans="1:20" x14ac:dyDescent="0.4">
      <c r="A80" s="4" t="s">
        <v>269</v>
      </c>
    </row>
    <row r="81" spans="1:19" x14ac:dyDescent="0.4">
      <c r="A81" s="4" t="s">
        <v>777</v>
      </c>
    </row>
    <row r="84" spans="1:19" x14ac:dyDescent="0.4">
      <c r="B84" s="4" t="s">
        <v>776</v>
      </c>
      <c r="F84" s="4" t="s">
        <v>775</v>
      </c>
    </row>
    <row r="86" spans="1:19" x14ac:dyDescent="0.4">
      <c r="A86" s="4" t="s">
        <v>341</v>
      </c>
      <c r="B86" s="4" t="s">
        <v>191</v>
      </c>
      <c r="C86" s="4" t="s">
        <v>469</v>
      </c>
      <c r="D86" s="4" t="s">
        <v>774</v>
      </c>
      <c r="F86" s="4" t="s">
        <v>191</v>
      </c>
      <c r="G86" s="4" t="s">
        <v>469</v>
      </c>
      <c r="H86" s="4" t="s">
        <v>774</v>
      </c>
    </row>
    <row r="87" spans="1:19" x14ac:dyDescent="0.4">
      <c r="A87" s="4" t="s">
        <v>400</v>
      </c>
      <c r="B87" s="4">
        <v>80</v>
      </c>
      <c r="C87" s="4">
        <v>500</v>
      </c>
      <c r="D87" s="4">
        <f>+B87*C87</f>
        <v>40000</v>
      </c>
      <c r="F87" s="4">
        <v>110</v>
      </c>
      <c r="G87" s="4">
        <v>500</v>
      </c>
      <c r="H87" s="4">
        <f>+F87*G87</f>
        <v>55000</v>
      </c>
    </row>
    <row r="89" spans="1:19" x14ac:dyDescent="0.4">
      <c r="A89" s="4" t="s">
        <v>401</v>
      </c>
      <c r="H89" s="4">
        <v>20000</v>
      </c>
    </row>
    <row r="90" spans="1:19" ht="16.8" thickBot="1" x14ac:dyDescent="0.45">
      <c r="A90" s="4" t="s">
        <v>773</v>
      </c>
      <c r="D90" s="150">
        <f>+D87</f>
        <v>40000</v>
      </c>
      <c r="H90" s="150">
        <f>+H87-H89</f>
        <v>35000</v>
      </c>
    </row>
    <row r="91" spans="1:19" ht="16.8" thickTop="1" x14ac:dyDescent="0.4"/>
    <row r="93" spans="1:19" x14ac:dyDescent="0.4">
      <c r="C93" s="118" t="s">
        <v>772</v>
      </c>
      <c r="D93" s="82">
        <f>+D90-H90</f>
        <v>5000</v>
      </c>
      <c r="E93" s="4" t="s">
        <v>771</v>
      </c>
    </row>
    <row r="96" spans="1:19" x14ac:dyDescent="0.4">
      <c r="A96" s="13" t="s">
        <v>770</v>
      </c>
      <c r="B96" s="14"/>
      <c r="C96" s="14"/>
      <c r="D96" s="14"/>
      <c r="E96" s="14"/>
      <c r="F96" s="14"/>
      <c r="G96" s="14"/>
      <c r="H96" s="14"/>
      <c r="I96" s="14"/>
      <c r="J96" s="14"/>
      <c r="K96" s="14"/>
      <c r="L96" s="14"/>
      <c r="M96" s="14"/>
      <c r="N96" s="14"/>
      <c r="O96" s="14"/>
      <c r="P96" s="14"/>
      <c r="Q96" s="14"/>
      <c r="R96" s="14"/>
      <c r="S96" s="15"/>
    </row>
    <row r="97" spans="1:19" x14ac:dyDescent="0.4">
      <c r="A97" s="16" t="s">
        <v>769</v>
      </c>
      <c r="B97" s="17"/>
      <c r="C97" s="17"/>
      <c r="D97" s="17"/>
      <c r="E97" s="17"/>
      <c r="F97" s="17"/>
      <c r="G97" s="17"/>
      <c r="H97" s="17"/>
      <c r="I97" s="17"/>
      <c r="J97" s="17"/>
      <c r="K97" s="17"/>
      <c r="L97" s="17"/>
      <c r="M97" s="17"/>
      <c r="N97" s="17"/>
      <c r="O97" s="17"/>
      <c r="P97" s="17"/>
      <c r="Q97" s="17"/>
      <c r="R97" s="17"/>
      <c r="S97" s="18"/>
    </row>
    <row r="98" spans="1:19" x14ac:dyDescent="0.4">
      <c r="A98" s="19" t="s">
        <v>768</v>
      </c>
      <c r="B98" s="20"/>
      <c r="C98" s="20"/>
      <c r="D98" s="20"/>
      <c r="E98" s="20"/>
      <c r="F98" s="20"/>
      <c r="G98" s="20"/>
      <c r="H98" s="20"/>
      <c r="I98" s="20"/>
      <c r="J98" s="46"/>
      <c r="K98" s="20"/>
      <c r="L98" s="20"/>
      <c r="M98" s="20"/>
      <c r="N98" s="20"/>
      <c r="O98" s="20"/>
      <c r="P98" s="20"/>
      <c r="Q98" s="20"/>
      <c r="R98" s="20"/>
      <c r="S98" s="21"/>
    </row>
    <row r="100" spans="1:19" x14ac:dyDescent="0.4">
      <c r="A100" s="4" t="s">
        <v>767</v>
      </c>
    </row>
    <row r="101" spans="1:19" x14ac:dyDescent="0.4">
      <c r="B101" s="4" t="s">
        <v>366</v>
      </c>
      <c r="C101" s="4" t="s">
        <v>656</v>
      </c>
      <c r="D101" s="4" t="s">
        <v>535</v>
      </c>
    </row>
    <row r="102" spans="1:19" x14ac:dyDescent="0.4">
      <c r="A102" s="4" t="s">
        <v>400</v>
      </c>
      <c r="B102" s="4">
        <v>5000</v>
      </c>
      <c r="C102" s="4">
        <v>2000</v>
      </c>
      <c r="D102" s="4">
        <v>3000</v>
      </c>
      <c r="E102" s="4">
        <f>+SUM(B102:D102)</f>
        <v>10000</v>
      </c>
    </row>
    <row r="103" spans="1:19" x14ac:dyDescent="0.4">
      <c r="A103" s="4" t="s">
        <v>534</v>
      </c>
      <c r="B103" s="4">
        <v>2000</v>
      </c>
      <c r="C103" s="4">
        <v>1200</v>
      </c>
      <c r="D103" s="4">
        <v>1000</v>
      </c>
      <c r="E103" s="4">
        <f>+SUM(B103:D103)</f>
        <v>4200</v>
      </c>
    </row>
    <row r="104" spans="1:19" x14ac:dyDescent="0.4">
      <c r="A104" s="4" t="s">
        <v>533</v>
      </c>
      <c r="B104" s="175">
        <f>+B102-B103</f>
        <v>3000</v>
      </c>
      <c r="C104" s="175">
        <f>+C102-C103</f>
        <v>800</v>
      </c>
      <c r="D104" s="175">
        <f>+D102-D103</f>
        <v>2000</v>
      </c>
      <c r="E104" s="175">
        <f>+E102-E103</f>
        <v>5800</v>
      </c>
    </row>
    <row r="105" spans="1:19" x14ac:dyDescent="0.4">
      <c r="A105" s="4" t="s">
        <v>766</v>
      </c>
    </row>
    <row r="106" spans="1:19" x14ac:dyDescent="0.4">
      <c r="A106" s="118" t="s">
        <v>765</v>
      </c>
      <c r="B106" s="4">
        <v>40</v>
      </c>
      <c r="C106" s="4">
        <v>260</v>
      </c>
      <c r="D106" s="4">
        <v>300</v>
      </c>
      <c r="E106" s="4">
        <f>+SUM(B106:D106)</f>
        <v>600</v>
      </c>
    </row>
    <row r="107" spans="1:19" x14ac:dyDescent="0.4">
      <c r="A107" s="118" t="s">
        <v>764</v>
      </c>
      <c r="B107" s="4">
        <v>80</v>
      </c>
      <c r="C107" s="4">
        <v>20</v>
      </c>
      <c r="D107" s="4">
        <v>20</v>
      </c>
      <c r="E107" s="4">
        <f>+SUM(B107:D107)</f>
        <v>120</v>
      </c>
    </row>
    <row r="108" spans="1:19" ht="16.8" thickBot="1" x14ac:dyDescent="0.45">
      <c r="A108" s="4" t="s">
        <v>763</v>
      </c>
      <c r="B108" s="182">
        <f>+B104-SUM(B106:B107)</f>
        <v>2880</v>
      </c>
      <c r="C108" s="172">
        <f>+C104-SUM(C106:C107)</f>
        <v>520</v>
      </c>
      <c r="D108" s="182">
        <f>+D104-SUM(D106:D107)</f>
        <v>1680</v>
      </c>
      <c r="E108" s="175">
        <f>+SUM(B108:D108)</f>
        <v>5080</v>
      </c>
    </row>
    <row r="109" spans="1:19" ht="16.8" thickTop="1" x14ac:dyDescent="0.4">
      <c r="A109" s="4" t="s">
        <v>762</v>
      </c>
    </row>
    <row r="110" spans="1:19" x14ac:dyDescent="0.4">
      <c r="A110" s="4" t="s">
        <v>761</v>
      </c>
      <c r="B110" s="185"/>
      <c r="C110" s="185"/>
      <c r="D110" s="185"/>
      <c r="E110" s="4">
        <v>2150</v>
      </c>
    </row>
    <row r="111" spans="1:19" x14ac:dyDescent="0.4">
      <c r="A111" s="4" t="s">
        <v>37</v>
      </c>
      <c r="B111" s="185" t="s">
        <v>760</v>
      </c>
      <c r="C111" s="185"/>
      <c r="D111" s="185"/>
      <c r="E111" s="4">
        <v>225</v>
      </c>
    </row>
    <row r="112" spans="1:19" x14ac:dyDescent="0.4">
      <c r="A112" s="4" t="s">
        <v>759</v>
      </c>
      <c r="B112" s="185"/>
      <c r="C112" s="185"/>
      <c r="D112" s="185"/>
      <c r="E112" s="4">
        <v>1905</v>
      </c>
    </row>
    <row r="113" spans="1:19" x14ac:dyDescent="0.4">
      <c r="A113" s="4" t="s">
        <v>393</v>
      </c>
      <c r="E113" s="175">
        <f>+E108-SUM(E110:E112)</f>
        <v>800</v>
      </c>
    </row>
    <row r="114" spans="1:19" x14ac:dyDescent="0.4">
      <c r="C114" s="4" t="s">
        <v>758</v>
      </c>
    </row>
    <row r="115" spans="1:19" x14ac:dyDescent="0.4">
      <c r="C115" s="4" t="s">
        <v>757</v>
      </c>
    </row>
    <row r="117" spans="1:19" x14ac:dyDescent="0.4">
      <c r="A117" s="13" t="s">
        <v>756</v>
      </c>
      <c r="B117" s="14"/>
      <c r="C117" s="14"/>
      <c r="D117" s="14"/>
      <c r="E117" s="14"/>
      <c r="F117" s="14"/>
      <c r="G117" s="14"/>
      <c r="H117" s="14"/>
      <c r="I117" s="14"/>
      <c r="J117" s="14"/>
      <c r="K117" s="14"/>
      <c r="L117" s="14"/>
      <c r="M117" s="14"/>
      <c r="N117" s="14"/>
      <c r="O117" s="14"/>
      <c r="P117" s="14"/>
      <c r="Q117" s="14"/>
      <c r="R117" s="14"/>
      <c r="S117" s="15"/>
    </row>
    <row r="118" spans="1:19" x14ac:dyDescent="0.4">
      <c r="A118" s="16" t="s">
        <v>755</v>
      </c>
      <c r="B118" s="17"/>
      <c r="C118" s="17"/>
      <c r="D118" s="17"/>
      <c r="E118" s="17"/>
      <c r="F118" s="17"/>
      <c r="G118" s="17"/>
      <c r="H118" s="17"/>
      <c r="I118" s="17"/>
      <c r="J118" s="17"/>
      <c r="K118" s="17"/>
      <c r="L118" s="17"/>
      <c r="M118" s="17"/>
      <c r="N118" s="17"/>
      <c r="O118" s="17"/>
      <c r="P118" s="17"/>
      <c r="Q118" s="17"/>
      <c r="R118" s="17"/>
      <c r="S118" s="18"/>
    </row>
    <row r="119" spans="1:19" x14ac:dyDescent="0.4">
      <c r="A119" s="19" t="s">
        <v>754</v>
      </c>
      <c r="B119" s="20"/>
      <c r="C119" s="20"/>
      <c r="D119" s="20"/>
      <c r="E119" s="20"/>
      <c r="F119" s="20"/>
      <c r="G119" s="20"/>
      <c r="H119" s="20"/>
      <c r="I119" s="20"/>
      <c r="J119" s="46"/>
      <c r="K119" s="20"/>
      <c r="L119" s="20"/>
      <c r="M119" s="20"/>
      <c r="N119" s="20"/>
      <c r="O119" s="20"/>
      <c r="P119" s="20"/>
      <c r="Q119" s="20"/>
      <c r="R119" s="20"/>
      <c r="S119" s="21"/>
    </row>
    <row r="121" spans="1:19" x14ac:dyDescent="0.4">
      <c r="A121" s="4" t="s">
        <v>753</v>
      </c>
      <c r="D121" s="4">
        <v>1000</v>
      </c>
      <c r="E121" s="4" t="s">
        <v>497</v>
      </c>
      <c r="H121" s="4" t="s">
        <v>752</v>
      </c>
    </row>
    <row r="122" spans="1:19" x14ac:dyDescent="0.4">
      <c r="A122" s="4" t="s">
        <v>751</v>
      </c>
      <c r="D122" s="4">
        <v>800</v>
      </c>
    </row>
    <row r="123" spans="1:19" x14ac:dyDescent="0.4">
      <c r="A123" s="4" t="s">
        <v>750</v>
      </c>
      <c r="D123" s="4">
        <v>1360</v>
      </c>
      <c r="E123" s="4" t="s">
        <v>747</v>
      </c>
      <c r="H123" s="4" t="s">
        <v>749</v>
      </c>
    </row>
    <row r="124" spans="1:19" x14ac:dyDescent="0.4">
      <c r="A124" s="4" t="s">
        <v>748</v>
      </c>
      <c r="D124" s="4">
        <v>4400</v>
      </c>
      <c r="E124" s="4" t="s">
        <v>747</v>
      </c>
      <c r="I124" s="4">
        <f>+D123+D124</f>
        <v>5760</v>
      </c>
      <c r="J124" s="4" t="s">
        <v>746</v>
      </c>
    </row>
    <row r="125" spans="1:19" x14ac:dyDescent="0.4">
      <c r="A125" s="4" t="s">
        <v>745</v>
      </c>
      <c r="D125" s="4">
        <v>600000</v>
      </c>
      <c r="E125" s="4" t="s">
        <v>743</v>
      </c>
    </row>
    <row r="126" spans="1:19" x14ac:dyDescent="0.4">
      <c r="A126" s="4" t="s">
        <v>744</v>
      </c>
      <c r="D126" s="4">
        <v>300000</v>
      </c>
      <c r="E126" s="4" t="s">
        <v>743</v>
      </c>
    </row>
    <row r="127" spans="1:19" x14ac:dyDescent="0.4">
      <c r="A127" s="4" t="s">
        <v>742</v>
      </c>
      <c r="D127" s="4">
        <v>120</v>
      </c>
      <c r="E127" s="4" t="s">
        <v>741</v>
      </c>
      <c r="H127" s="4" t="s">
        <v>740</v>
      </c>
    </row>
    <row r="128" spans="1:19" x14ac:dyDescent="0.4">
      <c r="A128" s="4" t="s">
        <v>739</v>
      </c>
      <c r="D128" s="4">
        <f>+D122*0.1</f>
        <v>80</v>
      </c>
      <c r="E128" s="4" t="s">
        <v>738</v>
      </c>
      <c r="I128" s="4">
        <v>200</v>
      </c>
      <c r="J128" s="4" t="s">
        <v>737</v>
      </c>
    </row>
    <row r="130" spans="1:11" x14ac:dyDescent="0.4">
      <c r="A130" s="4" t="s">
        <v>736</v>
      </c>
      <c r="H130" s="4" t="s">
        <v>735</v>
      </c>
      <c r="I130" s="118" t="s">
        <v>734</v>
      </c>
      <c r="J130" s="47">
        <f>+SQRT(I124*D121/I128*2)</f>
        <v>240</v>
      </c>
      <c r="K130" s="4" t="s">
        <v>497</v>
      </c>
    </row>
    <row r="131" spans="1:11" x14ac:dyDescent="0.4">
      <c r="A131" s="4" t="s">
        <v>733</v>
      </c>
      <c r="D131" s="4" t="s">
        <v>732</v>
      </c>
      <c r="E131" s="4" t="s">
        <v>731</v>
      </c>
    </row>
    <row r="133" spans="1:11" x14ac:dyDescent="0.4">
      <c r="G133" s="183" t="s">
        <v>730</v>
      </c>
    </row>
    <row r="134" spans="1:11" x14ac:dyDescent="0.4">
      <c r="G134" s="183" t="s">
        <v>729</v>
      </c>
    </row>
  </sheetData>
  <phoneticPr fontId="3"/>
  <pageMargins left="0.25" right="0.25" top="0.75" bottom="0.75" header="0.3" footer="0.3"/>
  <pageSetup paperSize="9" scale="62" fitToHeight="0" orientation="landscape" r:id="rId1"/>
  <rowBreaks count="2" manualBreakCount="2">
    <brk id="39" max="16383" man="1"/>
    <brk id="9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21" x14ac:dyDescent="0.4">
      <c r="A1" s="1" t="s">
        <v>302</v>
      </c>
      <c r="B1" s="2"/>
      <c r="C1" s="2"/>
      <c r="D1" s="2"/>
      <c r="E1" s="2"/>
      <c r="F1" s="2"/>
      <c r="G1" s="2"/>
      <c r="H1" s="2"/>
      <c r="I1" s="2"/>
      <c r="J1" s="2"/>
      <c r="K1" s="2"/>
      <c r="L1" s="2"/>
      <c r="M1" s="2"/>
      <c r="N1" s="2"/>
      <c r="O1" s="2"/>
      <c r="P1" s="2"/>
      <c r="Q1" s="3"/>
    </row>
    <row r="2" spans="1:21" x14ac:dyDescent="0.4">
      <c r="A2" s="5" t="s">
        <v>629</v>
      </c>
      <c r="B2" s="6"/>
      <c r="C2" s="6"/>
      <c r="D2" s="6"/>
      <c r="E2" s="6"/>
      <c r="F2" s="6"/>
      <c r="G2" s="6"/>
      <c r="H2" s="6"/>
      <c r="I2" s="6"/>
      <c r="J2" s="6"/>
      <c r="K2" s="6"/>
      <c r="L2" s="6"/>
      <c r="M2" s="6"/>
      <c r="N2" s="6"/>
      <c r="O2" s="6"/>
      <c r="P2" s="6"/>
      <c r="Q2" s="7"/>
    </row>
    <row r="3" spans="1:21" x14ac:dyDescent="0.4">
      <c r="A3" s="8" t="s">
        <v>630</v>
      </c>
      <c r="B3" s="9"/>
      <c r="C3" s="9"/>
      <c r="D3" s="9"/>
      <c r="E3" s="9"/>
      <c r="F3" s="9"/>
      <c r="G3" s="9"/>
      <c r="H3" s="9"/>
      <c r="I3" s="9"/>
      <c r="J3" s="9"/>
      <c r="K3" s="9"/>
      <c r="L3" s="9"/>
      <c r="M3" s="9"/>
      <c r="N3" s="9"/>
      <c r="O3" s="9"/>
      <c r="P3" s="9"/>
      <c r="Q3" s="10"/>
    </row>
    <row r="4" spans="1:21" s="12" customFormat="1" x14ac:dyDescent="0.4">
      <c r="A4" s="11"/>
      <c r="B4" s="11"/>
      <c r="C4" s="11"/>
      <c r="D4" s="11"/>
      <c r="E4" s="11"/>
      <c r="F4" s="11"/>
      <c r="G4" s="11"/>
      <c r="H4" s="11"/>
      <c r="I4" s="11"/>
      <c r="J4" s="11"/>
      <c r="K4" s="11"/>
      <c r="L4" s="11"/>
      <c r="M4" s="11"/>
      <c r="N4" s="11"/>
      <c r="O4" s="11"/>
      <c r="P4" s="11"/>
      <c r="Q4" s="11"/>
    </row>
    <row r="5" spans="1:21" ht="18" customHeight="1" x14ac:dyDescent="0.4">
      <c r="A5" s="13" t="s">
        <v>0</v>
      </c>
      <c r="B5" s="14"/>
      <c r="C5" s="14"/>
      <c r="D5" s="14"/>
      <c r="E5" s="14"/>
      <c r="F5" s="14"/>
      <c r="G5" s="14"/>
      <c r="H5" s="14"/>
      <c r="I5" s="14"/>
      <c r="J5" s="14"/>
      <c r="K5" s="14"/>
      <c r="L5" s="14"/>
      <c r="M5" s="14"/>
      <c r="N5" s="14"/>
      <c r="O5" s="14"/>
      <c r="P5" s="14"/>
      <c r="Q5" s="14"/>
      <c r="R5" s="15"/>
    </row>
    <row r="6" spans="1:21" x14ac:dyDescent="0.4">
      <c r="A6" s="16" t="s">
        <v>631</v>
      </c>
      <c r="B6" s="17"/>
      <c r="C6" s="17"/>
      <c r="D6" s="17"/>
      <c r="E6" s="17"/>
      <c r="F6" s="17"/>
      <c r="G6" s="17"/>
      <c r="H6" s="17"/>
      <c r="I6" s="17"/>
      <c r="J6" s="17"/>
      <c r="K6" s="17"/>
      <c r="L6" s="17"/>
      <c r="M6" s="17"/>
      <c r="N6" s="17"/>
      <c r="O6" s="17"/>
      <c r="P6" s="17"/>
      <c r="Q6" s="17"/>
      <c r="R6" s="18"/>
    </row>
    <row r="7" spans="1:21" x14ac:dyDescent="0.4">
      <c r="A7" s="19" t="s">
        <v>632</v>
      </c>
      <c r="B7" s="20"/>
      <c r="C7" s="20"/>
      <c r="D7" s="20"/>
      <c r="E7" s="20"/>
      <c r="F7" s="20"/>
      <c r="G7" s="20"/>
      <c r="H7" s="20"/>
      <c r="I7" s="46"/>
      <c r="J7" s="20"/>
      <c r="K7" s="20"/>
      <c r="L7" s="20"/>
      <c r="M7" s="20"/>
      <c r="N7" s="20"/>
      <c r="O7" s="20"/>
      <c r="P7" s="20"/>
      <c r="Q7" s="20"/>
      <c r="R7" s="21"/>
    </row>
    <row r="8" spans="1:21" s="12" customFormat="1" ht="17.25" customHeight="1" x14ac:dyDescent="0.4">
      <c r="D8" s="22"/>
      <c r="E8" s="22"/>
      <c r="F8" s="22"/>
      <c r="G8" s="22"/>
      <c r="H8" s="22"/>
      <c r="I8" s="22"/>
      <c r="J8" s="22"/>
      <c r="K8" s="22"/>
      <c r="L8" s="22"/>
      <c r="M8" s="22"/>
      <c r="N8" s="22"/>
      <c r="O8" s="22"/>
      <c r="P8" s="22"/>
      <c r="Q8" s="22"/>
      <c r="R8" s="22"/>
      <c r="S8" s="22"/>
      <c r="T8" s="22"/>
      <c r="U8" s="22"/>
    </row>
    <row r="9" spans="1:21" x14ac:dyDescent="0.4">
      <c r="A9" s="4" t="s">
        <v>633</v>
      </c>
    </row>
    <row r="10" spans="1:21" x14ac:dyDescent="0.4">
      <c r="A10" s="4" t="s">
        <v>635</v>
      </c>
    </row>
    <row r="12" spans="1:21" x14ac:dyDescent="0.4">
      <c r="C12" s="183" t="s">
        <v>651</v>
      </c>
      <c r="D12" s="4" t="s">
        <v>645</v>
      </c>
      <c r="E12" s="4" t="s">
        <v>646</v>
      </c>
    </row>
    <row r="13" spans="1:21" x14ac:dyDescent="0.4">
      <c r="B13" s="4" t="s">
        <v>634</v>
      </c>
      <c r="C13" s="136" t="s">
        <v>648</v>
      </c>
      <c r="D13" s="4">
        <v>100</v>
      </c>
      <c r="E13" s="4">
        <v>180</v>
      </c>
    </row>
    <row r="14" spans="1:21" x14ac:dyDescent="0.4">
      <c r="B14" s="4" t="s">
        <v>636</v>
      </c>
      <c r="C14" s="136" t="s">
        <v>648</v>
      </c>
      <c r="D14" s="4">
        <v>300</v>
      </c>
      <c r="E14" s="4">
        <v>520</v>
      </c>
    </row>
    <row r="15" spans="1:21" x14ac:dyDescent="0.4">
      <c r="B15" s="4" t="s">
        <v>637</v>
      </c>
      <c r="C15" s="136" t="s">
        <v>649</v>
      </c>
      <c r="D15" s="4">
        <v>1600</v>
      </c>
      <c r="E15" s="4">
        <v>500</v>
      </c>
    </row>
    <row r="16" spans="1:21" x14ac:dyDescent="0.4">
      <c r="B16" s="4" t="s">
        <v>638</v>
      </c>
      <c r="C16" s="136" t="s">
        <v>649</v>
      </c>
      <c r="D16" s="4">
        <v>3060</v>
      </c>
      <c r="E16" s="4">
        <v>640</v>
      </c>
    </row>
    <row r="17" spans="2:6" x14ac:dyDescent="0.4">
      <c r="B17" s="4" t="s">
        <v>639</v>
      </c>
      <c r="C17" s="136" t="s">
        <v>650</v>
      </c>
      <c r="D17" s="4">
        <v>3200</v>
      </c>
      <c r="E17" s="4">
        <v>600</v>
      </c>
    </row>
    <row r="18" spans="2:6" x14ac:dyDescent="0.4">
      <c r="B18" s="4" t="s">
        <v>640</v>
      </c>
      <c r="C18" s="136" t="s">
        <v>647</v>
      </c>
      <c r="D18" s="4">
        <v>600</v>
      </c>
      <c r="E18" s="4">
        <v>1400</v>
      </c>
    </row>
    <row r="19" spans="2:6" x14ac:dyDescent="0.4">
      <c r="B19" s="4" t="s">
        <v>641</v>
      </c>
      <c r="C19" s="136" t="s">
        <v>648</v>
      </c>
      <c r="D19" s="4">
        <v>1160</v>
      </c>
      <c r="E19" s="4">
        <v>1880</v>
      </c>
    </row>
    <row r="20" spans="2:6" x14ac:dyDescent="0.4">
      <c r="B20" s="4" t="s">
        <v>642</v>
      </c>
      <c r="C20" s="136" t="s">
        <v>647</v>
      </c>
      <c r="D20" s="4">
        <v>200</v>
      </c>
      <c r="E20" s="4">
        <v>500</v>
      </c>
    </row>
    <row r="21" spans="2:6" x14ac:dyDescent="0.4">
      <c r="B21" s="4" t="s">
        <v>643</v>
      </c>
      <c r="C21" s="136" t="s">
        <v>650</v>
      </c>
      <c r="D21" s="4">
        <v>1100</v>
      </c>
      <c r="E21" s="4">
        <v>300</v>
      </c>
    </row>
    <row r="22" spans="2:6" x14ac:dyDescent="0.4">
      <c r="B22" s="4" t="s">
        <v>644</v>
      </c>
      <c r="C22" s="136" t="s">
        <v>648</v>
      </c>
      <c r="D22" s="4">
        <v>640</v>
      </c>
      <c r="E22" s="4">
        <v>1440</v>
      </c>
    </row>
    <row r="23" spans="2:6" ht="16.8" thickBot="1" x14ac:dyDescent="0.45">
      <c r="D23" s="182">
        <f>+SUM(D13:D22)</f>
        <v>11960</v>
      </c>
      <c r="E23" s="182">
        <f>+SUM(E13:E22)</f>
        <v>7960</v>
      </c>
    </row>
    <row r="24" spans="2:6" ht="16.8" thickTop="1" x14ac:dyDescent="0.4"/>
    <row r="26" spans="2:6" x14ac:dyDescent="0.4">
      <c r="F26" s="4" t="s">
        <v>653</v>
      </c>
    </row>
    <row r="27" spans="2:6" x14ac:dyDescent="0.4">
      <c r="C27" s="4" t="s">
        <v>647</v>
      </c>
      <c r="D27" s="4">
        <f>+SUMIF($C$13:$C$22,$C27,D$13:D$22)</f>
        <v>800</v>
      </c>
      <c r="E27" s="4">
        <f>+SUMIF($C$13:$C$22,$C27,E$13:E$22)</f>
        <v>1900</v>
      </c>
    </row>
    <row r="28" spans="2:6" x14ac:dyDescent="0.4">
      <c r="C28" s="4" t="s">
        <v>648</v>
      </c>
      <c r="D28" s="4">
        <f t="shared" ref="D28:E32" si="0">+SUMIF($C$13:$C$22,$C28,D$13:D$22)</f>
        <v>2200</v>
      </c>
      <c r="E28" s="4">
        <f t="shared" si="0"/>
        <v>4020</v>
      </c>
    </row>
    <row r="29" spans="2:6" x14ac:dyDescent="0.4">
      <c r="C29" s="4" t="s">
        <v>652</v>
      </c>
      <c r="D29" s="175">
        <f>+SUM(D27:D28)</f>
        <v>3000</v>
      </c>
      <c r="E29" s="175">
        <f>+SUM(E27:E28)</f>
        <v>5920</v>
      </c>
      <c r="F29" s="82">
        <f>+E29-D29</f>
        <v>2920</v>
      </c>
    </row>
    <row r="31" spans="2:6" x14ac:dyDescent="0.4">
      <c r="C31" s="4" t="s">
        <v>649</v>
      </c>
      <c r="D31" s="4">
        <f t="shared" si="0"/>
        <v>4660</v>
      </c>
      <c r="E31" s="4">
        <f t="shared" si="0"/>
        <v>1140</v>
      </c>
    </row>
    <row r="32" spans="2:6" x14ac:dyDescent="0.4">
      <c r="C32" s="4" t="s">
        <v>650</v>
      </c>
      <c r="D32" s="4">
        <f t="shared" si="0"/>
        <v>4300</v>
      </c>
      <c r="E32" s="4">
        <f t="shared" si="0"/>
        <v>900</v>
      </c>
    </row>
    <row r="33" spans="3:6" x14ac:dyDescent="0.4">
      <c r="C33" s="4" t="s">
        <v>652</v>
      </c>
      <c r="D33" s="175">
        <f>+SUM(D31:D32)</f>
        <v>8960</v>
      </c>
      <c r="E33" s="175">
        <f>+SUM(E31:E32)</f>
        <v>2040</v>
      </c>
      <c r="F33" s="82">
        <f>+E33-D33</f>
        <v>-6920</v>
      </c>
    </row>
  </sheetData>
  <phoneticPr fontId="3"/>
  <pageMargins left="0.25" right="0.25" top="0.75" bottom="0.75" header="0.3" footer="0.3"/>
  <pageSetup paperSize="9" scale="65"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2"/>
  <sheetViews>
    <sheetView zoomScale="90" zoomScaleNormal="90" workbookViewId="0">
      <selection activeCell="G26" sqref="G26"/>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21" x14ac:dyDescent="0.4">
      <c r="A1" s="1" t="s">
        <v>302</v>
      </c>
      <c r="B1" s="2"/>
      <c r="C1" s="2"/>
      <c r="D1" s="2"/>
      <c r="E1" s="2"/>
      <c r="F1" s="2"/>
      <c r="G1" s="2"/>
      <c r="H1" s="2"/>
      <c r="I1" s="2"/>
      <c r="J1" s="2"/>
      <c r="K1" s="2"/>
      <c r="L1" s="2"/>
      <c r="M1" s="2"/>
      <c r="N1" s="2"/>
      <c r="O1" s="2"/>
      <c r="P1" s="2"/>
      <c r="Q1" s="3"/>
    </row>
    <row r="2" spans="1:21" x14ac:dyDescent="0.4">
      <c r="A2" s="5" t="s">
        <v>629</v>
      </c>
      <c r="B2" s="6"/>
      <c r="C2" s="6"/>
      <c r="D2" s="6"/>
      <c r="E2" s="6"/>
      <c r="F2" s="6"/>
      <c r="G2" s="6"/>
      <c r="H2" s="6"/>
      <c r="I2" s="6"/>
      <c r="J2" s="6"/>
      <c r="K2" s="6"/>
      <c r="L2" s="6"/>
      <c r="M2" s="6"/>
      <c r="N2" s="6"/>
      <c r="O2" s="6"/>
      <c r="P2" s="6"/>
      <c r="Q2" s="7"/>
    </row>
    <row r="3" spans="1:21" x14ac:dyDescent="0.4">
      <c r="A3" s="8" t="s">
        <v>630</v>
      </c>
      <c r="B3" s="9"/>
      <c r="C3" s="9"/>
      <c r="D3" s="9"/>
      <c r="E3" s="9"/>
      <c r="F3" s="9"/>
      <c r="G3" s="9"/>
      <c r="H3" s="9"/>
      <c r="I3" s="9"/>
      <c r="J3" s="9"/>
      <c r="K3" s="9"/>
      <c r="L3" s="9"/>
      <c r="M3" s="9"/>
      <c r="N3" s="9"/>
      <c r="O3" s="9"/>
      <c r="P3" s="9"/>
      <c r="Q3" s="10"/>
    </row>
    <row r="4" spans="1:21" s="12" customFormat="1" x14ac:dyDescent="0.4">
      <c r="A4" s="11"/>
      <c r="B4" s="11"/>
      <c r="C4" s="11"/>
      <c r="D4" s="11"/>
      <c r="E4" s="11"/>
      <c r="F4" s="11"/>
      <c r="G4" s="11"/>
      <c r="H4" s="11"/>
      <c r="I4" s="11"/>
      <c r="J4" s="11"/>
      <c r="K4" s="11"/>
      <c r="L4" s="11"/>
      <c r="M4" s="11"/>
      <c r="N4" s="11"/>
      <c r="O4" s="11"/>
      <c r="P4" s="11"/>
      <c r="Q4" s="11"/>
    </row>
    <row r="5" spans="1:21" ht="18" customHeight="1" x14ac:dyDescent="0.4">
      <c r="A5" s="13" t="s">
        <v>0</v>
      </c>
      <c r="B5" s="14"/>
      <c r="C5" s="14"/>
      <c r="D5" s="14"/>
      <c r="E5" s="14"/>
      <c r="F5" s="14"/>
      <c r="G5" s="14"/>
      <c r="H5" s="14"/>
      <c r="I5" s="14"/>
      <c r="J5" s="14"/>
      <c r="K5" s="14"/>
      <c r="L5" s="14"/>
      <c r="M5" s="14"/>
      <c r="N5" s="14"/>
      <c r="O5" s="14"/>
      <c r="P5" s="14"/>
      <c r="Q5" s="14"/>
      <c r="R5" s="15"/>
    </row>
    <row r="6" spans="1:21" x14ac:dyDescent="0.4">
      <c r="A6" s="16" t="s">
        <v>654</v>
      </c>
      <c r="B6" s="17"/>
      <c r="C6" s="17"/>
      <c r="D6" s="17"/>
      <c r="E6" s="17"/>
      <c r="F6" s="17"/>
      <c r="G6" s="17"/>
      <c r="H6" s="17"/>
      <c r="I6" s="17"/>
      <c r="J6" s="17"/>
      <c r="K6" s="17"/>
      <c r="L6" s="17"/>
      <c r="M6" s="17"/>
      <c r="N6" s="17"/>
      <c r="O6" s="17"/>
      <c r="P6" s="17"/>
      <c r="Q6" s="17"/>
      <c r="R6" s="18"/>
    </row>
    <row r="7" spans="1:21" x14ac:dyDescent="0.4">
      <c r="A7" s="19" t="s">
        <v>655</v>
      </c>
      <c r="B7" s="20"/>
      <c r="C7" s="20"/>
      <c r="D7" s="20"/>
      <c r="E7" s="20"/>
      <c r="F7" s="20"/>
      <c r="G7" s="20"/>
      <c r="H7" s="20"/>
      <c r="I7" s="46"/>
      <c r="J7" s="20"/>
      <c r="K7" s="20"/>
      <c r="L7" s="20"/>
      <c r="M7" s="20"/>
      <c r="N7" s="20"/>
      <c r="O7" s="20"/>
      <c r="P7" s="20"/>
      <c r="Q7" s="20"/>
      <c r="R7" s="21"/>
    </row>
    <row r="8" spans="1:21" s="12" customFormat="1" ht="17.25" customHeight="1" x14ac:dyDescent="0.4">
      <c r="D8" s="22"/>
      <c r="E8" s="22"/>
      <c r="F8" s="22"/>
      <c r="G8" s="22"/>
      <c r="H8" s="22"/>
      <c r="I8" s="22"/>
      <c r="J8" s="22"/>
      <c r="K8" s="22"/>
      <c r="L8" s="22"/>
      <c r="M8" s="22"/>
      <c r="N8" s="22"/>
      <c r="O8" s="22"/>
      <c r="P8" s="22"/>
      <c r="Q8" s="22"/>
      <c r="R8" s="22"/>
      <c r="S8" s="22"/>
      <c r="T8" s="22"/>
      <c r="U8" s="22"/>
    </row>
    <row r="9" spans="1:21" x14ac:dyDescent="0.4">
      <c r="A9" s="4" t="s">
        <v>660</v>
      </c>
    </row>
    <row r="11" spans="1:21" x14ac:dyDescent="0.4">
      <c r="D11" s="4" t="s">
        <v>366</v>
      </c>
      <c r="E11" s="4" t="s">
        <v>656</v>
      </c>
      <c r="F11" s="4" t="s">
        <v>535</v>
      </c>
    </row>
    <row r="12" spans="1:21" x14ac:dyDescent="0.4">
      <c r="B12" s="4" t="s">
        <v>362</v>
      </c>
      <c r="D12" s="4">
        <v>16000</v>
      </c>
      <c r="E12" s="4">
        <v>8000</v>
      </c>
      <c r="F12" s="4">
        <v>9800</v>
      </c>
    </row>
    <row r="13" spans="1:21" x14ac:dyDescent="0.4">
      <c r="B13" s="4" t="s">
        <v>659</v>
      </c>
      <c r="D13" s="4">
        <v>6</v>
      </c>
      <c r="E13" s="4">
        <v>4</v>
      </c>
      <c r="F13" s="4">
        <v>1</v>
      </c>
    </row>
    <row r="14" spans="1:21" x14ac:dyDescent="0.4">
      <c r="B14" s="4" t="s">
        <v>661</v>
      </c>
      <c r="D14" s="251">
        <f>+D12*D13+E12*E13+F12*F13</f>
        <v>137800</v>
      </c>
      <c r="E14" s="251"/>
      <c r="F14" s="251"/>
      <c r="H14" s="4" t="s">
        <v>664</v>
      </c>
    </row>
    <row r="15" spans="1:21" x14ac:dyDescent="0.4">
      <c r="B15" s="4" t="s">
        <v>662</v>
      </c>
      <c r="D15" s="251">
        <f>+H15/D14</f>
        <v>400</v>
      </c>
      <c r="E15" s="251"/>
      <c r="F15" s="251"/>
      <c r="H15" s="4">
        <v>55120000</v>
      </c>
    </row>
    <row r="16" spans="1:21" x14ac:dyDescent="0.4">
      <c r="B16" s="4" t="s">
        <v>663</v>
      </c>
      <c r="D16" s="82">
        <f>+D13*$D$15</f>
        <v>2400</v>
      </c>
      <c r="E16" s="82">
        <f t="shared" ref="E16:F16" si="0">+E13*$D$15</f>
        <v>1600</v>
      </c>
      <c r="F16" s="82">
        <f t="shared" si="0"/>
        <v>400</v>
      </c>
    </row>
    <row r="19" spans="1:7" x14ac:dyDescent="0.4">
      <c r="A19" s="4" t="s">
        <v>706</v>
      </c>
    </row>
    <row r="21" spans="1:7" x14ac:dyDescent="0.4">
      <c r="B21" s="4" t="s">
        <v>665</v>
      </c>
    </row>
    <row r="23" spans="1:7" x14ac:dyDescent="0.4">
      <c r="B23" s="4" t="s">
        <v>666</v>
      </c>
    </row>
    <row r="25" spans="1:7" x14ac:dyDescent="0.4">
      <c r="B25" s="4" t="s">
        <v>671</v>
      </c>
    </row>
    <row r="26" spans="1:7" x14ac:dyDescent="0.4">
      <c r="D26" s="4" t="s">
        <v>366</v>
      </c>
      <c r="E26" s="4" t="s">
        <v>656</v>
      </c>
      <c r="F26" s="4" t="s">
        <v>535</v>
      </c>
    </row>
    <row r="27" spans="1:7" x14ac:dyDescent="0.4">
      <c r="B27" s="4" t="s">
        <v>362</v>
      </c>
      <c r="D27" s="4">
        <f>+D12</f>
        <v>16000</v>
      </c>
      <c r="E27" s="4">
        <f>+E12</f>
        <v>8000</v>
      </c>
      <c r="F27" s="4">
        <f>+F12</f>
        <v>9800</v>
      </c>
    </row>
    <row r="28" spans="1:7" x14ac:dyDescent="0.4">
      <c r="B28" s="4" t="s">
        <v>657</v>
      </c>
      <c r="D28" s="4">
        <v>2000</v>
      </c>
      <c r="E28" s="4">
        <v>2200</v>
      </c>
      <c r="F28" s="4">
        <v>1200</v>
      </c>
      <c r="G28" s="4" t="s">
        <v>358</v>
      </c>
    </row>
    <row r="29" spans="1:7" x14ac:dyDescent="0.4">
      <c r="B29" s="4" t="s">
        <v>658</v>
      </c>
      <c r="C29" s="4">
        <v>1800</v>
      </c>
      <c r="D29" s="4">
        <f>+$C29*D30</f>
        <v>1260</v>
      </c>
      <c r="E29" s="4">
        <f>+$C29*E30</f>
        <v>900</v>
      </c>
      <c r="F29" s="4">
        <f>+$C29*F30</f>
        <v>1080</v>
      </c>
      <c r="G29" s="4" t="s">
        <v>358</v>
      </c>
    </row>
    <row r="30" spans="1:7" x14ac:dyDescent="0.4">
      <c r="B30" s="185"/>
      <c r="C30" s="185"/>
      <c r="D30" s="186">
        <v>0.7</v>
      </c>
      <c r="E30" s="186">
        <v>0.5</v>
      </c>
      <c r="F30" s="186">
        <v>0.6</v>
      </c>
      <c r="G30" s="185" t="s">
        <v>356</v>
      </c>
    </row>
    <row r="31" spans="1:7" x14ac:dyDescent="0.4">
      <c r="B31" s="185" t="s">
        <v>669</v>
      </c>
      <c r="C31" s="185"/>
      <c r="D31" s="185">
        <f>+D16*D30</f>
        <v>1680</v>
      </c>
      <c r="E31" s="185">
        <f>+E16*E30</f>
        <v>800</v>
      </c>
      <c r="F31" s="185">
        <f>+F16*F30</f>
        <v>240</v>
      </c>
      <c r="G31" s="185"/>
    </row>
    <row r="32" spans="1:7" x14ac:dyDescent="0.4">
      <c r="B32" s="4" t="s">
        <v>670</v>
      </c>
      <c r="D32" s="4">
        <f>+$E$32*D30/$E$30</f>
        <v>3779.9999999999995</v>
      </c>
      <c r="E32" s="136">
        <f>+E33-E28-E29</f>
        <v>2700</v>
      </c>
      <c r="F32" s="4">
        <f>+$E$32*F30/$E$30</f>
        <v>3240</v>
      </c>
      <c r="G32" s="4" t="s">
        <v>673</v>
      </c>
    </row>
    <row r="33" spans="1:13" x14ac:dyDescent="0.4">
      <c r="B33" s="4" t="s">
        <v>672</v>
      </c>
      <c r="D33" s="82">
        <f>+SUM(D28,D29,D32)</f>
        <v>7040</v>
      </c>
      <c r="E33" s="82">
        <f>+E27*(1-E38)</f>
        <v>5800</v>
      </c>
      <c r="F33" s="82">
        <f>+SUM(F28,F29,F32)</f>
        <v>5520</v>
      </c>
    </row>
    <row r="36" spans="1:13" x14ac:dyDescent="0.4">
      <c r="B36" s="4" t="s">
        <v>674</v>
      </c>
      <c r="D36" s="4">
        <f>+D32*D16</f>
        <v>9071999.9999999981</v>
      </c>
      <c r="E36" s="4">
        <f>+E32*E16</f>
        <v>4320000</v>
      </c>
      <c r="F36" s="4">
        <f>+F32*F16</f>
        <v>1296000</v>
      </c>
      <c r="G36" s="82">
        <f>+SUM(D36:F36)</f>
        <v>14687999.999999998</v>
      </c>
    </row>
    <row r="37" spans="1:13" x14ac:dyDescent="0.4">
      <c r="B37" s="4" t="s">
        <v>667</v>
      </c>
      <c r="D37" s="82">
        <f>+(D27-D33)*D16</f>
        <v>21504000</v>
      </c>
      <c r="E37" s="82">
        <f>+(E27-E33)*E16</f>
        <v>3520000</v>
      </c>
      <c r="F37" s="82">
        <f>+(F27-F33)*F16</f>
        <v>1712000</v>
      </c>
    </row>
    <row r="38" spans="1:13" x14ac:dyDescent="0.4">
      <c r="B38" s="4" t="s">
        <v>668</v>
      </c>
      <c r="E38" s="86">
        <v>0.27500000000000002</v>
      </c>
    </row>
    <row r="40" spans="1:13" x14ac:dyDescent="0.4">
      <c r="A40" s="4" t="s">
        <v>698</v>
      </c>
    </row>
    <row r="42" spans="1:13" x14ac:dyDescent="0.4">
      <c r="B42" s="4" t="s">
        <v>675</v>
      </c>
      <c r="D42" s="4" t="s">
        <v>366</v>
      </c>
      <c r="E42" s="4" t="s">
        <v>656</v>
      </c>
      <c r="F42" s="4" t="s">
        <v>535</v>
      </c>
      <c r="G42" s="4" t="s">
        <v>540</v>
      </c>
    </row>
    <row r="43" spans="1:13" x14ac:dyDescent="0.4">
      <c r="B43" s="4" t="s">
        <v>689</v>
      </c>
      <c r="D43" s="4">
        <f>+D31</f>
        <v>1680</v>
      </c>
      <c r="E43" s="4">
        <f t="shared" ref="E43:F43" si="1">+E31</f>
        <v>800</v>
      </c>
      <c r="F43" s="4">
        <f t="shared" si="1"/>
        <v>240</v>
      </c>
      <c r="G43" s="4">
        <f>SUM(D43:F43)</f>
        <v>2720</v>
      </c>
      <c r="H43" s="4" t="s">
        <v>679</v>
      </c>
    </row>
    <row r="44" spans="1:13" x14ac:dyDescent="0.4">
      <c r="B44" s="4" t="s">
        <v>690</v>
      </c>
      <c r="D44" s="4">
        <v>24</v>
      </c>
      <c r="E44" s="4">
        <v>16</v>
      </c>
      <c r="F44" s="4">
        <v>40</v>
      </c>
      <c r="G44" s="4">
        <f t="shared" ref="G44:G50" si="2">SUM(D44:F44)</f>
        <v>80</v>
      </c>
      <c r="H44" s="4" t="s">
        <v>676</v>
      </c>
    </row>
    <row r="45" spans="1:13" x14ac:dyDescent="0.4">
      <c r="B45" s="4" t="s">
        <v>691</v>
      </c>
      <c r="D45" s="4">
        <v>250</v>
      </c>
      <c r="E45" s="4">
        <v>200</v>
      </c>
      <c r="F45" s="4">
        <v>350</v>
      </c>
      <c r="G45" s="4">
        <f t="shared" si="2"/>
        <v>800</v>
      </c>
      <c r="H45" s="4" t="s">
        <v>676</v>
      </c>
    </row>
    <row r="46" spans="1:13" x14ac:dyDescent="0.4">
      <c r="B46" s="4" t="s">
        <v>692</v>
      </c>
      <c r="D46" s="23">
        <v>1.5</v>
      </c>
      <c r="E46" s="23">
        <v>1</v>
      </c>
      <c r="F46" s="23">
        <v>2</v>
      </c>
      <c r="H46" s="4" t="s">
        <v>677</v>
      </c>
    </row>
    <row r="47" spans="1:13" x14ac:dyDescent="0.4">
      <c r="D47" s="47">
        <f>+D46*D16</f>
        <v>3600</v>
      </c>
      <c r="E47" s="47">
        <f t="shared" ref="E47:F47" si="3">+E46*E16</f>
        <v>1600</v>
      </c>
      <c r="F47" s="47">
        <f t="shared" si="3"/>
        <v>800</v>
      </c>
      <c r="G47" s="4">
        <f t="shared" si="2"/>
        <v>6000</v>
      </c>
      <c r="H47" s="4" t="s">
        <v>680</v>
      </c>
      <c r="M47" s="4" t="s">
        <v>688</v>
      </c>
    </row>
    <row r="48" spans="1:13" x14ac:dyDescent="0.4">
      <c r="B48" s="4" t="s">
        <v>693</v>
      </c>
      <c r="D48" s="4">
        <f>+D28*D16</f>
        <v>4800000</v>
      </c>
      <c r="E48" s="4">
        <f t="shared" ref="E48:F48" si="4">+E28*E16</f>
        <v>3520000</v>
      </c>
      <c r="F48" s="4">
        <f t="shared" si="4"/>
        <v>480000</v>
      </c>
      <c r="G48" s="4">
        <f t="shared" si="2"/>
        <v>8800000</v>
      </c>
      <c r="H48" s="4" t="s">
        <v>358</v>
      </c>
    </row>
    <row r="49" spans="1:11" x14ac:dyDescent="0.4">
      <c r="B49" s="4" t="s">
        <v>694</v>
      </c>
      <c r="D49" s="4">
        <v>24</v>
      </c>
      <c r="E49" s="4">
        <v>16</v>
      </c>
      <c r="F49" s="4">
        <v>4</v>
      </c>
      <c r="G49" s="4">
        <f t="shared" si="2"/>
        <v>44</v>
      </c>
      <c r="H49" s="4" t="s">
        <v>678</v>
      </c>
    </row>
    <row r="50" spans="1:11" x14ac:dyDescent="0.4">
      <c r="B50" s="4" t="s">
        <v>695</v>
      </c>
      <c r="D50" s="4">
        <v>12</v>
      </c>
      <c r="E50" s="4">
        <v>8</v>
      </c>
      <c r="F50" s="4">
        <v>40</v>
      </c>
      <c r="G50" s="4">
        <f t="shared" si="2"/>
        <v>60</v>
      </c>
      <c r="H50" s="4" t="s">
        <v>678</v>
      </c>
    </row>
    <row r="54" spans="1:11" x14ac:dyDescent="0.4">
      <c r="D54" s="4" t="s">
        <v>696</v>
      </c>
    </row>
    <row r="55" spans="1:11" x14ac:dyDescent="0.4">
      <c r="A55" s="4" t="s">
        <v>681</v>
      </c>
      <c r="B55" s="4">
        <v>3600000</v>
      </c>
      <c r="C55" s="4" t="s">
        <v>692</v>
      </c>
      <c r="D55" s="4">
        <f>+$B55*D47/$G47</f>
        <v>2160000</v>
      </c>
      <c r="E55" s="4">
        <f>+$B55*E47/$G47</f>
        <v>960000</v>
      </c>
      <c r="F55" s="4">
        <f>+$B55*F47/$G47</f>
        <v>480000</v>
      </c>
    </row>
    <row r="56" spans="1:11" x14ac:dyDescent="0.4">
      <c r="A56" s="4" t="s">
        <v>682</v>
      </c>
      <c r="B56" s="4">
        <v>700000</v>
      </c>
      <c r="C56" s="4" t="s">
        <v>690</v>
      </c>
      <c r="D56" s="4">
        <f t="shared" ref="D56:F57" si="5">+$B56*D44/$G44</f>
        <v>210000</v>
      </c>
      <c r="E56" s="4">
        <f t="shared" si="5"/>
        <v>140000</v>
      </c>
      <c r="F56" s="4">
        <f t="shared" si="5"/>
        <v>350000</v>
      </c>
    </row>
    <row r="57" spans="1:11" x14ac:dyDescent="0.4">
      <c r="A57" s="4" t="s">
        <v>683</v>
      </c>
      <c r="B57" s="4">
        <v>2400000</v>
      </c>
      <c r="C57" s="4" t="s">
        <v>691</v>
      </c>
      <c r="D57" s="4">
        <f t="shared" si="5"/>
        <v>750000</v>
      </c>
      <c r="E57" s="4">
        <f t="shared" si="5"/>
        <v>600000</v>
      </c>
      <c r="F57" s="4">
        <f t="shared" si="5"/>
        <v>1050000</v>
      </c>
    </row>
    <row r="58" spans="1:11" x14ac:dyDescent="0.4">
      <c r="A58" s="4" t="s">
        <v>684</v>
      </c>
      <c r="B58" s="4">
        <v>1320000</v>
      </c>
      <c r="C58" s="4" t="s">
        <v>693</v>
      </c>
      <c r="D58" s="4">
        <f>+$B58*D48/$G48</f>
        <v>720000</v>
      </c>
      <c r="E58" s="4">
        <f>+$B58*E48/$G48</f>
        <v>528000</v>
      </c>
      <c r="F58" s="4">
        <f>+$B58*F48/$G48</f>
        <v>72000</v>
      </c>
    </row>
    <row r="59" spans="1:11" x14ac:dyDescent="0.4">
      <c r="A59" s="4" t="s">
        <v>685</v>
      </c>
      <c r="B59" s="184">
        <f>+B63-SUM(B55:B58,B60:B62)</f>
        <v>507999.99999999814</v>
      </c>
      <c r="C59" s="4" t="s">
        <v>694</v>
      </c>
      <c r="F59" s="4">
        <f>+B59</f>
        <v>507999.99999999814</v>
      </c>
      <c r="K59" s="4" t="s">
        <v>697</v>
      </c>
    </row>
    <row r="60" spans="1:11" x14ac:dyDescent="0.4">
      <c r="A60" s="4" t="s">
        <v>685</v>
      </c>
      <c r="B60" s="12">
        <v>880000</v>
      </c>
      <c r="D60" s="4">
        <f>+$B60*D49/$G49</f>
        <v>480000</v>
      </c>
      <c r="E60" s="4">
        <f t="shared" ref="E60:F60" si="6">+$B60*E49/$G49</f>
        <v>320000</v>
      </c>
      <c r="F60" s="4">
        <f t="shared" si="6"/>
        <v>80000</v>
      </c>
    </row>
    <row r="61" spans="1:11" x14ac:dyDescent="0.4">
      <c r="A61" s="4" t="s">
        <v>686</v>
      </c>
      <c r="B61" s="4">
        <v>1200000</v>
      </c>
      <c r="C61" s="4" t="s">
        <v>695</v>
      </c>
      <c r="D61" s="4">
        <f>+$B61*D50/$G50</f>
        <v>240000</v>
      </c>
      <c r="E61" s="4">
        <f>+$B61*E50/$G50</f>
        <v>160000</v>
      </c>
      <c r="F61" s="4">
        <f>+$B61*F50/$G50</f>
        <v>800000</v>
      </c>
    </row>
    <row r="62" spans="1:11" x14ac:dyDescent="0.4">
      <c r="A62" s="4" t="s">
        <v>687</v>
      </c>
      <c r="B62" s="4">
        <v>4080000</v>
      </c>
      <c r="C62" s="4" t="s">
        <v>689</v>
      </c>
      <c r="D62" s="4">
        <f>+$B62*D43/$G43</f>
        <v>2520000</v>
      </c>
      <c r="E62" s="4">
        <f>+$B62*E43/$G43</f>
        <v>1200000</v>
      </c>
      <c r="F62" s="4">
        <f>+$B62*F43/$G43</f>
        <v>360000</v>
      </c>
    </row>
    <row r="63" spans="1:11" ht="16.8" thickBot="1" x14ac:dyDescent="0.45">
      <c r="A63" s="4" t="s">
        <v>540</v>
      </c>
      <c r="B63" s="150">
        <f>+G36</f>
        <v>14687999.999999998</v>
      </c>
      <c r="D63" s="150">
        <f>+SUM(D55:D62)</f>
        <v>7080000</v>
      </c>
      <c r="E63" s="150">
        <f>+SUM(E55:E62)</f>
        <v>3908000</v>
      </c>
      <c r="F63" s="150">
        <f>+SUM(F55:F62)</f>
        <v>3699999.9999999981</v>
      </c>
    </row>
    <row r="64" spans="1:11" ht="16.8" thickTop="1" x14ac:dyDescent="0.4"/>
    <row r="66" spans="1:7" x14ac:dyDescent="0.4">
      <c r="B66" s="4" t="s">
        <v>672</v>
      </c>
      <c r="D66" s="4">
        <f>+D63/D16+D28+D29</f>
        <v>6210</v>
      </c>
      <c r="E66" s="4">
        <f>+E63/E16+E28+E29</f>
        <v>5542.5</v>
      </c>
      <c r="F66" s="4">
        <f>+F63/F16+F28+F29</f>
        <v>11529.999999999995</v>
      </c>
    </row>
    <row r="67" spans="1:7" x14ac:dyDescent="0.4">
      <c r="B67" s="4" t="s">
        <v>667</v>
      </c>
      <c r="D67" s="82">
        <f>+D16*(D12-D66)</f>
        <v>23496000</v>
      </c>
      <c r="E67" s="82">
        <f t="shared" ref="E67:F67" si="7">+E16*(E12-E66)</f>
        <v>3932000</v>
      </c>
      <c r="F67" s="82">
        <f t="shared" si="7"/>
        <v>-691999.99999999779</v>
      </c>
    </row>
    <row r="69" spans="1:7" x14ac:dyDescent="0.4">
      <c r="A69" s="4" t="s">
        <v>699</v>
      </c>
    </row>
    <row r="70" spans="1:7" x14ac:dyDescent="0.4">
      <c r="B70" s="4" t="s">
        <v>700</v>
      </c>
      <c r="D70" s="4">
        <f>+D33-D66</f>
        <v>830</v>
      </c>
      <c r="E70" s="4">
        <f t="shared" ref="E70:F70" si="8">+E33-E66</f>
        <v>257.5</v>
      </c>
      <c r="F70" s="4">
        <f t="shared" si="8"/>
        <v>-6009.9999999999945</v>
      </c>
    </row>
    <row r="71" spans="1:7" x14ac:dyDescent="0.4">
      <c r="B71" s="4" t="s">
        <v>701</v>
      </c>
      <c r="D71" s="82">
        <f>+D70*D16</f>
        <v>1992000</v>
      </c>
      <c r="E71" s="82">
        <f t="shared" ref="E71:F71" si="9">+E70*E16</f>
        <v>412000</v>
      </c>
      <c r="F71" s="82">
        <f t="shared" si="9"/>
        <v>-2403999.9999999977</v>
      </c>
    </row>
    <row r="72" spans="1:7" x14ac:dyDescent="0.4">
      <c r="C72" s="118" t="s">
        <v>705</v>
      </c>
      <c r="D72" s="4" t="s">
        <v>702</v>
      </c>
      <c r="E72" s="4" t="s">
        <v>702</v>
      </c>
      <c r="F72" s="4" t="s">
        <v>703</v>
      </c>
      <c r="G72" s="4" t="s">
        <v>704</v>
      </c>
    </row>
  </sheetData>
  <mergeCells count="2">
    <mergeCell ref="D14:F14"/>
    <mergeCell ref="D15:F15"/>
  </mergeCells>
  <phoneticPr fontId="3"/>
  <pageMargins left="0.25" right="0.25" top="0.75" bottom="0.75" header="0.3" footer="0.3"/>
  <pageSetup paperSize="9" scale="6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5"/>
  <sheetViews>
    <sheetView zoomScale="90" zoomScaleNormal="90" zoomScaleSheetLayoutView="100" workbookViewId="0">
      <selection activeCell="Q14" sqref="Q14"/>
    </sheetView>
  </sheetViews>
  <sheetFormatPr defaultColWidth="12" defaultRowHeight="16.2" x14ac:dyDescent="0.4"/>
  <cols>
    <col min="1" max="1" width="12.109375" style="4" customWidth="1"/>
    <col min="2" max="6" width="13.109375" style="4" customWidth="1"/>
    <col min="7" max="8" width="12.6640625" style="4" customWidth="1"/>
    <col min="9" max="11" width="13.109375" style="4" customWidth="1"/>
    <col min="12" max="12" width="12" style="4"/>
    <col min="13" max="13" width="11.88671875" style="4" customWidth="1"/>
    <col min="14" max="16384" width="12" style="4"/>
  </cols>
  <sheetData>
    <row r="1" spans="1:19" x14ac:dyDescent="0.4">
      <c r="A1" s="1" t="s">
        <v>302</v>
      </c>
      <c r="B1" s="2"/>
      <c r="C1" s="2"/>
      <c r="D1" s="2"/>
      <c r="E1" s="2"/>
      <c r="F1" s="2"/>
      <c r="G1" s="2"/>
      <c r="H1" s="2"/>
      <c r="I1" s="2"/>
      <c r="J1" s="2"/>
      <c r="K1" s="2"/>
      <c r="L1" s="2"/>
      <c r="M1" s="2"/>
      <c r="N1" s="2"/>
      <c r="O1" s="2"/>
      <c r="P1" s="2"/>
      <c r="Q1" s="2"/>
      <c r="R1" s="3"/>
    </row>
    <row r="2" spans="1:19" x14ac:dyDescent="0.4">
      <c r="A2" s="5" t="s">
        <v>261</v>
      </c>
      <c r="B2" s="6"/>
      <c r="C2" s="6"/>
      <c r="D2" s="6"/>
      <c r="E2" s="6"/>
      <c r="F2" s="6"/>
      <c r="G2" s="6"/>
      <c r="H2" s="6"/>
      <c r="I2" s="6"/>
      <c r="J2" s="6"/>
      <c r="K2" s="6"/>
      <c r="L2" s="6"/>
      <c r="M2" s="6"/>
      <c r="N2" s="6"/>
      <c r="O2" s="6"/>
      <c r="P2" s="6"/>
      <c r="Q2" s="6"/>
      <c r="R2" s="7"/>
    </row>
    <row r="3" spans="1:19" x14ac:dyDescent="0.4">
      <c r="A3" s="8"/>
      <c r="B3" s="9"/>
      <c r="C3" s="9"/>
      <c r="D3" s="9"/>
      <c r="E3" s="9"/>
      <c r="F3" s="9"/>
      <c r="G3" s="9"/>
      <c r="H3" s="9"/>
      <c r="I3" s="9"/>
      <c r="J3" s="9"/>
      <c r="K3" s="9"/>
      <c r="L3" s="9"/>
      <c r="M3" s="9"/>
      <c r="N3" s="9"/>
      <c r="O3" s="9"/>
      <c r="P3" s="9"/>
      <c r="Q3" s="9"/>
      <c r="R3" s="10"/>
    </row>
    <row r="4" spans="1:19" s="12" customFormat="1" x14ac:dyDescent="0.4">
      <c r="A4" s="11"/>
      <c r="B4" s="11"/>
      <c r="C4" s="11"/>
      <c r="D4" s="11"/>
      <c r="E4" s="11"/>
      <c r="F4" s="11"/>
      <c r="G4" s="11"/>
      <c r="H4" s="11"/>
      <c r="I4" s="11"/>
      <c r="J4" s="11"/>
      <c r="K4" s="11"/>
      <c r="L4" s="11"/>
      <c r="M4" s="11"/>
      <c r="N4" s="11"/>
      <c r="O4" s="11"/>
      <c r="P4" s="11"/>
      <c r="Q4" s="11"/>
      <c r="R4" s="11"/>
    </row>
    <row r="5" spans="1:19" x14ac:dyDescent="0.4">
      <c r="A5" s="13" t="s">
        <v>956</v>
      </c>
      <c r="B5" s="14"/>
      <c r="C5" s="14"/>
      <c r="D5" s="14"/>
      <c r="E5" s="14"/>
      <c r="F5" s="14"/>
      <c r="G5" s="14"/>
      <c r="H5" s="14"/>
      <c r="I5" s="14"/>
      <c r="J5" s="14"/>
      <c r="K5" s="14"/>
      <c r="L5" s="14"/>
      <c r="M5" s="14"/>
      <c r="N5" s="14"/>
      <c r="O5" s="14"/>
      <c r="P5" s="14"/>
      <c r="Q5" s="14"/>
      <c r="R5" s="14"/>
      <c r="S5" s="15"/>
    </row>
    <row r="6" spans="1:19" x14ac:dyDescent="0.4">
      <c r="A6" s="16" t="s">
        <v>955</v>
      </c>
      <c r="B6" s="17"/>
      <c r="C6" s="17"/>
      <c r="D6" s="17"/>
      <c r="E6" s="17"/>
      <c r="F6" s="17"/>
      <c r="G6" s="17"/>
      <c r="H6" s="17"/>
      <c r="I6" s="17"/>
      <c r="J6" s="17"/>
      <c r="K6" s="17"/>
      <c r="L6" s="17"/>
      <c r="M6" s="17"/>
      <c r="N6" s="17"/>
      <c r="O6" s="17"/>
      <c r="P6" s="17"/>
      <c r="Q6" s="17"/>
      <c r="R6" s="17"/>
      <c r="S6" s="18"/>
    </row>
    <row r="7" spans="1:19" x14ac:dyDescent="0.4">
      <c r="A7" s="16" t="s">
        <v>954</v>
      </c>
      <c r="B7" s="17"/>
      <c r="C7" s="17"/>
      <c r="D7" s="17"/>
      <c r="E7" s="17"/>
      <c r="F7" s="17"/>
      <c r="G7" s="17"/>
      <c r="H7" s="17"/>
      <c r="I7" s="17"/>
      <c r="J7" s="17"/>
      <c r="K7" s="17"/>
      <c r="L7" s="17"/>
      <c r="M7" s="17"/>
      <c r="N7" s="17"/>
      <c r="O7" s="17"/>
      <c r="P7" s="17"/>
      <c r="Q7" s="17"/>
      <c r="R7" s="17"/>
      <c r="S7" s="18"/>
    </row>
    <row r="8" spans="1:19" x14ac:dyDescent="0.4">
      <c r="A8" s="19" t="s">
        <v>953</v>
      </c>
      <c r="B8" s="20"/>
      <c r="C8" s="20"/>
      <c r="D8" s="20"/>
      <c r="E8" s="20"/>
      <c r="F8" s="20"/>
      <c r="G8" s="20"/>
      <c r="H8" s="20"/>
      <c r="I8" s="20"/>
      <c r="J8" s="46"/>
      <c r="K8" s="20"/>
      <c r="L8" s="20"/>
      <c r="M8" s="20"/>
      <c r="N8" s="20"/>
      <c r="O8" s="20"/>
      <c r="P8" s="20"/>
      <c r="Q8" s="20"/>
      <c r="R8" s="20"/>
      <c r="S8" s="21"/>
    </row>
    <row r="11" spans="1:19" x14ac:dyDescent="0.4">
      <c r="C11" s="24" t="s">
        <v>163</v>
      </c>
      <c r="D11" s="25" t="s">
        <v>952</v>
      </c>
      <c r="E11" s="25" t="s">
        <v>951</v>
      </c>
      <c r="F11" s="29" t="s">
        <v>950</v>
      </c>
    </row>
    <row r="12" spans="1:19" x14ac:dyDescent="0.4">
      <c r="C12" s="26"/>
      <c r="D12" s="27"/>
      <c r="E12" s="27"/>
      <c r="F12" s="30"/>
    </row>
    <row r="13" spans="1:19" x14ac:dyDescent="0.4">
      <c r="B13" s="4" t="s">
        <v>1</v>
      </c>
      <c r="D13" s="119">
        <v>0.95240000000000002</v>
      </c>
      <c r="E13" s="119">
        <v>0.90700000000000003</v>
      </c>
      <c r="F13" s="119">
        <v>0.86380000000000001</v>
      </c>
    </row>
    <row r="15" spans="1:19" x14ac:dyDescent="0.4">
      <c r="A15" s="4" t="s">
        <v>843</v>
      </c>
      <c r="C15" s="4">
        <v>1000</v>
      </c>
      <c r="F15" s="82">
        <f>+C15/F13</f>
        <v>1157.6753878212548</v>
      </c>
      <c r="G15" s="4" t="s">
        <v>949</v>
      </c>
    </row>
    <row r="17" spans="1:19" x14ac:dyDescent="0.4">
      <c r="A17" s="4" t="s">
        <v>829</v>
      </c>
      <c r="C17" s="82">
        <f>+F17*F13</f>
        <v>863.80000000000007</v>
      </c>
      <c r="D17" s="4" t="s">
        <v>948</v>
      </c>
      <c r="F17" s="4">
        <v>1000</v>
      </c>
    </row>
    <row r="19" spans="1:19" x14ac:dyDescent="0.4">
      <c r="A19" s="4" t="s">
        <v>822</v>
      </c>
      <c r="D19" s="245">
        <f>+SUM(D13:F13)</f>
        <v>2.7231999999999998</v>
      </c>
      <c r="E19" s="246"/>
      <c r="F19" s="247"/>
      <c r="G19" s="4" t="s">
        <v>947</v>
      </c>
    </row>
    <row r="20" spans="1:19" x14ac:dyDescent="0.4">
      <c r="C20" s="82">
        <f>+D20*D19</f>
        <v>2723.2</v>
      </c>
      <c r="D20" s="4">
        <v>1000</v>
      </c>
      <c r="E20" s="4">
        <v>1000</v>
      </c>
      <c r="F20" s="4">
        <v>1000</v>
      </c>
    </row>
    <row r="21" spans="1:19" x14ac:dyDescent="0.4">
      <c r="C21" s="4" t="s">
        <v>946</v>
      </c>
    </row>
    <row r="24" spans="1:19" x14ac:dyDescent="0.4">
      <c r="A24" s="13" t="s">
        <v>945</v>
      </c>
      <c r="B24" s="14"/>
      <c r="C24" s="14"/>
      <c r="D24" s="14"/>
      <c r="E24" s="14"/>
      <c r="F24" s="14"/>
      <c r="G24" s="14"/>
      <c r="H24" s="14"/>
      <c r="I24" s="14"/>
      <c r="J24" s="14"/>
      <c r="K24" s="14"/>
      <c r="L24" s="14"/>
      <c r="M24" s="14"/>
      <c r="N24" s="14"/>
      <c r="O24" s="14"/>
      <c r="P24" s="14"/>
      <c r="Q24" s="14"/>
      <c r="R24" s="14"/>
      <c r="S24" s="15"/>
    </row>
    <row r="25" spans="1:19" x14ac:dyDescent="0.4">
      <c r="A25" s="16" t="s">
        <v>944</v>
      </c>
      <c r="B25" s="17"/>
      <c r="C25" s="17"/>
      <c r="D25" s="17"/>
      <c r="E25" s="17"/>
      <c r="F25" s="17"/>
      <c r="G25" s="17"/>
      <c r="H25" s="17"/>
      <c r="I25" s="17"/>
      <c r="J25" s="17"/>
      <c r="K25" s="17"/>
      <c r="L25" s="17"/>
      <c r="M25" s="17"/>
      <c r="N25" s="17"/>
      <c r="O25" s="17"/>
      <c r="P25" s="17"/>
      <c r="Q25" s="17"/>
      <c r="R25" s="17"/>
      <c r="S25" s="18"/>
    </row>
    <row r="26" spans="1:19" x14ac:dyDescent="0.4">
      <c r="A26" s="19" t="s">
        <v>943</v>
      </c>
      <c r="B26" s="20"/>
      <c r="C26" s="20"/>
      <c r="D26" s="20"/>
      <c r="E26" s="20"/>
      <c r="F26" s="20"/>
      <c r="G26" s="20"/>
      <c r="H26" s="20"/>
      <c r="I26" s="20"/>
      <c r="J26" s="46"/>
      <c r="K26" s="20"/>
      <c r="L26" s="20"/>
      <c r="M26" s="20"/>
      <c r="N26" s="20"/>
      <c r="O26" s="20"/>
      <c r="P26" s="20"/>
      <c r="Q26" s="20"/>
      <c r="R26" s="20"/>
      <c r="S26" s="21"/>
    </row>
    <row r="28" spans="1:19" x14ac:dyDescent="0.4">
      <c r="C28" s="24" t="s">
        <v>163</v>
      </c>
      <c r="D28" s="25" t="s">
        <v>942</v>
      </c>
      <c r="E28" s="25" t="s">
        <v>155</v>
      </c>
      <c r="F28" s="29" t="s">
        <v>201</v>
      </c>
    </row>
    <row r="29" spans="1:19" x14ac:dyDescent="0.4">
      <c r="C29" s="26"/>
      <c r="D29" s="27"/>
      <c r="E29" s="27"/>
      <c r="F29" s="30"/>
    </row>
    <row r="30" spans="1:19" x14ac:dyDescent="0.4">
      <c r="B30" s="4" t="s">
        <v>893</v>
      </c>
      <c r="C30" s="36">
        <v>10000</v>
      </c>
      <c r="D30" s="36"/>
      <c r="E30" s="36"/>
      <c r="F30" s="36"/>
    </row>
    <row r="31" spans="1:19" x14ac:dyDescent="0.4">
      <c r="B31" s="4" t="s">
        <v>941</v>
      </c>
      <c r="D31" s="4">
        <v>3400</v>
      </c>
      <c r="E31" s="4">
        <v>4200</v>
      </c>
      <c r="F31" s="4">
        <v>3200</v>
      </c>
    </row>
    <row r="32" spans="1:19" x14ac:dyDescent="0.4">
      <c r="B32" s="4" t="s">
        <v>940</v>
      </c>
      <c r="F32" s="4">
        <v>800</v>
      </c>
    </row>
    <row r="33" spans="1:19" x14ac:dyDescent="0.4">
      <c r="B33" s="4" t="s">
        <v>861</v>
      </c>
      <c r="C33" s="4">
        <f>-C30</f>
        <v>-10000</v>
      </c>
      <c r="D33" s="4">
        <f>+D31*D34</f>
        <v>3207.56</v>
      </c>
      <c r="E33" s="4">
        <f>+E31*E34</f>
        <v>3738</v>
      </c>
      <c r="F33" s="4">
        <f>+SUM(F31:F32)*F34</f>
        <v>3358.4</v>
      </c>
    </row>
    <row r="34" spans="1:19" x14ac:dyDescent="0.4">
      <c r="B34" s="4" t="s">
        <v>1</v>
      </c>
      <c r="D34" s="119">
        <v>0.94340000000000002</v>
      </c>
      <c r="E34" s="119">
        <v>0.89</v>
      </c>
      <c r="F34" s="119">
        <v>0.83960000000000001</v>
      </c>
    </row>
    <row r="35" spans="1:19" x14ac:dyDescent="0.4">
      <c r="D35" s="119"/>
      <c r="E35" s="119"/>
      <c r="F35" s="119"/>
    </row>
    <row r="36" spans="1:19" x14ac:dyDescent="0.4">
      <c r="A36" s="4" t="s">
        <v>939</v>
      </c>
      <c r="B36" s="4" t="s">
        <v>79</v>
      </c>
      <c r="C36" s="244">
        <f>+SUM(C33:F33)</f>
        <v>303.95999999999958</v>
      </c>
      <c r="D36" s="4" t="s">
        <v>938</v>
      </c>
    </row>
    <row r="38" spans="1:19" x14ac:dyDescent="0.4">
      <c r="A38" s="4" t="s">
        <v>937</v>
      </c>
      <c r="B38" s="4" t="s">
        <v>936</v>
      </c>
      <c r="C38" s="244">
        <f>+SUM(D33:F33)/C30</f>
        <v>1.0303959999999999</v>
      </c>
      <c r="D38" s="4" t="s">
        <v>935</v>
      </c>
    </row>
    <row r="40" spans="1:19" x14ac:dyDescent="0.4">
      <c r="A40" s="4" t="s">
        <v>934</v>
      </c>
      <c r="B40" s="4" t="s">
        <v>933</v>
      </c>
      <c r="C40" s="47">
        <f>+C33</f>
        <v>-10000</v>
      </c>
      <c r="D40" s="4">
        <f>+SUM(D31:D32)</f>
        <v>3400</v>
      </c>
      <c r="E40" s="4">
        <f>+SUM(E31:E32)</f>
        <v>4200</v>
      </c>
      <c r="F40" s="4">
        <f>+SUM(F31:F32)</f>
        <v>4000</v>
      </c>
    </row>
    <row r="41" spans="1:19" x14ac:dyDescent="0.4">
      <c r="B41" s="4" t="s">
        <v>932</v>
      </c>
      <c r="C41" s="83">
        <f>+IRR(C40:F40)</f>
        <v>7.5912494007007725E-2</v>
      </c>
    </row>
    <row r="42" spans="1:19" x14ac:dyDescent="0.4">
      <c r="C42" s="4" t="s">
        <v>931</v>
      </c>
    </row>
    <row r="45" spans="1:19" x14ac:dyDescent="0.4">
      <c r="A45" s="13" t="s">
        <v>930</v>
      </c>
      <c r="B45" s="14"/>
      <c r="C45" s="14"/>
      <c r="D45" s="14"/>
      <c r="E45" s="14"/>
      <c r="F45" s="14"/>
      <c r="G45" s="14"/>
      <c r="H45" s="14"/>
      <c r="I45" s="14"/>
      <c r="J45" s="14"/>
      <c r="K45" s="14"/>
      <c r="L45" s="14"/>
      <c r="M45" s="14"/>
      <c r="N45" s="14"/>
      <c r="O45" s="14"/>
      <c r="P45" s="14"/>
      <c r="Q45" s="14"/>
      <c r="R45" s="14"/>
      <c r="S45" s="15"/>
    </row>
    <row r="46" spans="1:19" x14ac:dyDescent="0.4">
      <c r="A46" s="16" t="s">
        <v>929</v>
      </c>
      <c r="B46" s="17"/>
      <c r="C46" s="17"/>
      <c r="D46" s="17"/>
      <c r="E46" s="17"/>
      <c r="F46" s="17"/>
      <c r="G46" s="17"/>
      <c r="H46" s="17"/>
      <c r="I46" s="17"/>
      <c r="J46" s="17"/>
      <c r="K46" s="17"/>
      <c r="L46" s="17"/>
      <c r="M46" s="17"/>
      <c r="N46" s="17"/>
      <c r="O46" s="17"/>
      <c r="P46" s="17"/>
      <c r="Q46" s="17"/>
      <c r="R46" s="17"/>
      <c r="S46" s="18"/>
    </row>
    <row r="47" spans="1:19" x14ac:dyDescent="0.4">
      <c r="A47" s="19"/>
      <c r="B47" s="20"/>
      <c r="C47" s="20"/>
      <c r="D47" s="20"/>
      <c r="E47" s="20"/>
      <c r="F47" s="20"/>
      <c r="G47" s="20"/>
      <c r="H47" s="20"/>
      <c r="I47" s="20"/>
      <c r="J47" s="46"/>
      <c r="K47" s="20"/>
      <c r="L47" s="20"/>
      <c r="M47" s="20"/>
      <c r="N47" s="20"/>
      <c r="O47" s="20"/>
      <c r="P47" s="20"/>
      <c r="Q47" s="20"/>
      <c r="R47" s="20"/>
      <c r="S47" s="21"/>
    </row>
    <row r="49" spans="1:15" x14ac:dyDescent="0.4">
      <c r="A49" s="4" t="s">
        <v>928</v>
      </c>
    </row>
    <row r="50" spans="1:15" x14ac:dyDescent="0.4">
      <c r="A50" s="185"/>
      <c r="B50" s="185"/>
      <c r="C50" s="243" t="s">
        <v>927</v>
      </c>
      <c r="D50" s="242" t="s">
        <v>926</v>
      </c>
      <c r="E50" s="242" t="s">
        <v>925</v>
      </c>
      <c r="F50" s="242" t="s">
        <v>62</v>
      </c>
      <c r="G50" s="242" t="s">
        <v>63</v>
      </c>
      <c r="H50" s="242" t="s">
        <v>64</v>
      </c>
      <c r="I50" s="185"/>
      <c r="J50" s="185"/>
      <c r="K50" s="185"/>
      <c r="L50" s="185"/>
      <c r="M50" s="185"/>
      <c r="N50" s="185"/>
      <c r="O50" s="185"/>
    </row>
    <row r="51" spans="1:15" x14ac:dyDescent="0.4">
      <c r="A51" s="185"/>
      <c r="B51" s="185"/>
      <c r="C51" s="241"/>
      <c r="D51" s="240"/>
      <c r="E51" s="240"/>
      <c r="F51" s="240"/>
      <c r="G51" s="240"/>
      <c r="H51" s="239"/>
      <c r="I51" s="185"/>
      <c r="J51" s="185" t="s">
        <v>924</v>
      </c>
      <c r="K51" s="185"/>
      <c r="L51" s="185"/>
      <c r="M51" s="185" t="s">
        <v>48</v>
      </c>
      <c r="N51" s="185"/>
      <c r="O51" s="185"/>
    </row>
    <row r="52" spans="1:15" x14ac:dyDescent="0.4">
      <c r="A52" s="185" t="s">
        <v>923</v>
      </c>
      <c r="B52" s="185" t="s">
        <v>893</v>
      </c>
      <c r="C52" s="185">
        <v>91276</v>
      </c>
      <c r="D52" s="185"/>
      <c r="E52" s="185"/>
      <c r="F52" s="185"/>
      <c r="G52" s="185"/>
      <c r="H52" s="185"/>
      <c r="I52" s="185"/>
      <c r="J52" s="185"/>
      <c r="K52" s="185"/>
      <c r="L52" s="185"/>
      <c r="M52" s="185"/>
      <c r="N52" s="185"/>
      <c r="O52" s="185"/>
    </row>
    <row r="53" spans="1:15" x14ac:dyDescent="0.4">
      <c r="A53" s="185"/>
      <c r="B53" s="185" t="s">
        <v>922</v>
      </c>
      <c r="C53" s="185"/>
      <c r="D53" s="185">
        <v>15000</v>
      </c>
      <c r="E53" s="185">
        <v>16000</v>
      </c>
      <c r="F53" s="185">
        <v>20000</v>
      </c>
      <c r="G53" s="185">
        <v>18000</v>
      </c>
      <c r="H53" s="185">
        <v>21000</v>
      </c>
      <c r="I53" s="185"/>
      <c r="J53" s="181">
        <f>+C52/SUM(D53:H54)*5</f>
        <v>4.5638000000000005</v>
      </c>
      <c r="K53" s="185" t="s">
        <v>46</v>
      </c>
      <c r="L53" s="185"/>
      <c r="M53" s="83">
        <f>+SUM(D53:H54,-C52)/5/C52</f>
        <v>1.9115649239668697E-2</v>
      </c>
      <c r="N53" s="185"/>
      <c r="O53" s="185"/>
    </row>
    <row r="54" spans="1:15" x14ac:dyDescent="0.4">
      <c r="A54" s="185"/>
      <c r="B54" s="185" t="s">
        <v>30</v>
      </c>
      <c r="C54" s="185"/>
      <c r="D54" s="185"/>
      <c r="E54" s="185"/>
      <c r="F54" s="185"/>
      <c r="G54" s="185"/>
      <c r="H54" s="185">
        <v>10000</v>
      </c>
      <c r="I54" s="185"/>
      <c r="J54" s="185"/>
      <c r="K54" s="185"/>
      <c r="L54" s="185"/>
      <c r="M54" s="185"/>
      <c r="N54" s="185"/>
      <c r="O54" s="185"/>
    </row>
    <row r="55" spans="1:15" x14ac:dyDescent="0.4">
      <c r="A55" s="185"/>
      <c r="B55" s="185"/>
      <c r="C55" s="185"/>
      <c r="D55" s="185"/>
      <c r="E55" s="185"/>
      <c r="F55" s="185"/>
      <c r="G55" s="185"/>
      <c r="H55" s="185"/>
      <c r="I55" s="185"/>
      <c r="J55" s="185"/>
      <c r="K55" s="185"/>
      <c r="L55" s="185"/>
      <c r="M55" s="185"/>
      <c r="N55" s="185"/>
      <c r="O55" s="185"/>
    </row>
    <row r="56" spans="1:15" x14ac:dyDescent="0.4">
      <c r="A56" s="185" t="s">
        <v>451</v>
      </c>
      <c r="B56" s="185" t="s">
        <v>893</v>
      </c>
      <c r="C56" s="185">
        <v>151632</v>
      </c>
      <c r="D56" s="185"/>
      <c r="E56" s="185"/>
      <c r="F56" s="185"/>
      <c r="G56" s="185"/>
      <c r="H56" s="185"/>
      <c r="I56" s="185"/>
      <c r="J56" s="185"/>
      <c r="K56" s="185"/>
      <c r="L56" s="185"/>
      <c r="M56" s="185"/>
      <c r="N56" s="185"/>
      <c r="O56" s="185"/>
    </row>
    <row r="57" spans="1:15" x14ac:dyDescent="0.4">
      <c r="A57" s="185"/>
      <c r="B57" s="185" t="s">
        <v>922</v>
      </c>
      <c r="C57" s="185"/>
      <c r="D57" s="185">
        <v>30000</v>
      </c>
      <c r="E57" s="185">
        <v>35000</v>
      </c>
      <c r="F57" s="185">
        <v>40000</v>
      </c>
      <c r="G57" s="185">
        <v>37000</v>
      </c>
      <c r="H57" s="185">
        <v>43000</v>
      </c>
      <c r="I57" s="185"/>
      <c r="J57" s="181">
        <f>+C56/SUM(D57:H58)*5</f>
        <v>3.7907999999999999</v>
      </c>
      <c r="K57" s="185" t="s">
        <v>46</v>
      </c>
      <c r="L57" s="185"/>
      <c r="M57" s="83">
        <f>+SUM(D57:H58,-C56)/5/C56</f>
        <v>6.3796560092856391E-2</v>
      </c>
      <c r="N57" s="185"/>
      <c r="O57" s="185"/>
    </row>
    <row r="58" spans="1:15" x14ac:dyDescent="0.4">
      <c r="A58" s="185"/>
      <c r="B58" s="185" t="s">
        <v>30</v>
      </c>
      <c r="C58" s="185"/>
      <c r="D58" s="185"/>
      <c r="E58" s="185"/>
      <c r="F58" s="185"/>
      <c r="G58" s="185"/>
      <c r="H58" s="185">
        <v>15000</v>
      </c>
      <c r="I58" s="185"/>
      <c r="J58" s="185"/>
      <c r="K58" s="185"/>
      <c r="L58" s="185"/>
      <c r="M58" s="185"/>
      <c r="N58" s="185"/>
      <c r="O58" s="185"/>
    </row>
    <row r="59" spans="1:15" x14ac:dyDescent="0.4">
      <c r="A59" s="185"/>
      <c r="B59" s="185"/>
      <c r="C59" s="185"/>
      <c r="D59" s="185"/>
      <c r="E59" s="185"/>
      <c r="F59" s="185"/>
      <c r="G59" s="185"/>
      <c r="H59" s="185"/>
      <c r="I59" s="185"/>
      <c r="J59" s="185"/>
      <c r="K59" s="185"/>
      <c r="L59" s="185"/>
      <c r="M59" s="185"/>
      <c r="N59" s="185"/>
      <c r="O59" s="185"/>
    </row>
    <row r="60" spans="1:15" x14ac:dyDescent="0.4">
      <c r="A60" s="185" t="s">
        <v>450</v>
      </c>
      <c r="B60" s="185" t="s">
        <v>893</v>
      </c>
      <c r="C60" s="185">
        <v>83946</v>
      </c>
      <c r="D60" s="185"/>
      <c r="E60" s="185"/>
      <c r="F60" s="185"/>
      <c r="G60" s="185"/>
      <c r="H60" s="185"/>
      <c r="I60" s="185"/>
      <c r="J60" s="185"/>
      <c r="K60" s="185"/>
      <c r="L60" s="185"/>
      <c r="M60" s="185"/>
      <c r="N60" s="185"/>
      <c r="O60" s="185"/>
    </row>
    <row r="61" spans="1:15" x14ac:dyDescent="0.4">
      <c r="A61" s="185"/>
      <c r="B61" s="185" t="s">
        <v>922</v>
      </c>
      <c r="C61" s="185"/>
      <c r="D61" s="185">
        <v>25000</v>
      </c>
      <c r="E61" s="185">
        <v>30000</v>
      </c>
      <c r="F61" s="185">
        <v>31000</v>
      </c>
      <c r="G61" s="185">
        <v>29000</v>
      </c>
      <c r="H61" s="185">
        <v>27000</v>
      </c>
      <c r="I61" s="185"/>
      <c r="J61" s="181">
        <f>+C60/SUM(D61:H62)*5</f>
        <v>2.7982</v>
      </c>
      <c r="K61" s="185" t="s">
        <v>46</v>
      </c>
      <c r="L61" s="185"/>
      <c r="M61" s="83">
        <f>+SUM(D61:H62,-C60)/5/C60</f>
        <v>0.15737259666928738</v>
      </c>
      <c r="N61" s="185"/>
      <c r="O61" s="185"/>
    </row>
    <row r="62" spans="1:15" x14ac:dyDescent="0.4">
      <c r="A62" s="185"/>
      <c r="B62" s="185" t="s">
        <v>30</v>
      </c>
      <c r="C62" s="185"/>
      <c r="D62" s="185"/>
      <c r="E62" s="185"/>
      <c r="F62" s="185"/>
      <c r="G62" s="185"/>
      <c r="H62" s="185">
        <v>8000</v>
      </c>
      <c r="I62" s="185"/>
      <c r="J62" s="185"/>
      <c r="K62" s="185"/>
      <c r="L62" s="185"/>
      <c r="M62" s="185"/>
      <c r="N62" s="185"/>
      <c r="O62" s="185"/>
    </row>
    <row r="63" spans="1:15" x14ac:dyDescent="0.4">
      <c r="A63" s="185"/>
      <c r="B63" s="185"/>
      <c r="C63" s="185"/>
      <c r="D63" s="185"/>
      <c r="E63" s="185"/>
      <c r="F63" s="185"/>
      <c r="G63" s="185"/>
      <c r="H63" s="185"/>
      <c r="I63" s="185"/>
      <c r="J63" s="185" t="s">
        <v>921</v>
      </c>
      <c r="K63" s="185"/>
      <c r="L63" s="185"/>
      <c r="M63" s="185" t="s">
        <v>920</v>
      </c>
      <c r="N63" s="185"/>
      <c r="O63" s="185"/>
    </row>
    <row r="66" spans="1:19" x14ac:dyDescent="0.4">
      <c r="A66" s="233" t="s">
        <v>919</v>
      </c>
      <c r="B66" s="232"/>
      <c r="C66" s="232"/>
      <c r="D66" s="232"/>
      <c r="E66" s="232"/>
      <c r="F66" s="232"/>
      <c r="G66" s="232"/>
      <c r="H66" s="232"/>
      <c r="I66" s="232"/>
      <c r="J66" s="232"/>
      <c r="K66" s="232"/>
      <c r="L66" s="232"/>
      <c r="M66" s="232"/>
      <c r="N66" s="232"/>
      <c r="O66" s="232"/>
      <c r="P66" s="232"/>
      <c r="Q66" s="232"/>
      <c r="R66" s="232"/>
      <c r="S66" s="231"/>
    </row>
    <row r="67" spans="1:19" x14ac:dyDescent="0.4">
      <c r="A67" s="111" t="s">
        <v>918</v>
      </c>
      <c r="B67" s="230"/>
      <c r="C67" s="230"/>
      <c r="D67" s="230"/>
      <c r="E67" s="230"/>
      <c r="F67" s="230"/>
      <c r="G67" s="230"/>
      <c r="H67" s="230"/>
      <c r="I67" s="230"/>
      <c r="J67" s="230"/>
      <c r="K67" s="230"/>
      <c r="L67" s="230"/>
      <c r="M67" s="230"/>
      <c r="N67" s="230"/>
      <c r="O67" s="230"/>
      <c r="P67" s="230"/>
      <c r="Q67" s="230"/>
      <c r="R67" s="230"/>
      <c r="S67" s="229"/>
    </row>
    <row r="68" spans="1:19" x14ac:dyDescent="0.4">
      <c r="A68" s="228" t="s">
        <v>917</v>
      </c>
      <c r="B68" s="226"/>
      <c r="C68" s="226"/>
      <c r="D68" s="226"/>
      <c r="E68" s="226"/>
      <c r="F68" s="226"/>
      <c r="G68" s="226"/>
      <c r="H68" s="226"/>
      <c r="I68" s="226"/>
      <c r="J68" s="227"/>
      <c r="K68" s="226"/>
      <c r="L68" s="226"/>
      <c r="M68" s="226"/>
      <c r="N68" s="226"/>
      <c r="O68" s="226"/>
      <c r="P68" s="226"/>
      <c r="Q68" s="226"/>
      <c r="R68" s="226"/>
      <c r="S68" s="225"/>
    </row>
    <row r="71" spans="1:19" x14ac:dyDescent="0.4">
      <c r="A71" s="4" t="s">
        <v>843</v>
      </c>
      <c r="C71" s="62" t="s">
        <v>915</v>
      </c>
      <c r="D71" s="51"/>
      <c r="E71" s="51" t="s">
        <v>916</v>
      </c>
      <c r="F71" s="51"/>
    </row>
    <row r="72" spans="1:19" x14ac:dyDescent="0.4">
      <c r="C72" s="61" t="s">
        <v>895</v>
      </c>
      <c r="D72" s="48">
        <v>6000</v>
      </c>
      <c r="E72" s="49" t="s">
        <v>894</v>
      </c>
      <c r="F72" s="50">
        <v>10000</v>
      </c>
    </row>
    <row r="73" spans="1:19" x14ac:dyDescent="0.4">
      <c r="C73" s="65"/>
      <c r="D73" s="51"/>
      <c r="E73" s="52"/>
      <c r="F73" s="53"/>
    </row>
    <row r="74" spans="1:19" x14ac:dyDescent="0.4">
      <c r="C74" s="67" t="s">
        <v>37</v>
      </c>
      <c r="D74" s="68">
        <v>0</v>
      </c>
      <c r="E74" s="52"/>
      <c r="F74" s="53"/>
    </row>
    <row r="75" spans="1:19" x14ac:dyDescent="0.4">
      <c r="C75" s="69"/>
      <c r="D75" s="70"/>
      <c r="E75" s="52"/>
      <c r="F75" s="53"/>
    </row>
    <row r="76" spans="1:19" x14ac:dyDescent="0.4">
      <c r="C76" s="236" t="s">
        <v>53</v>
      </c>
      <c r="D76" s="71">
        <f>+F72-SUM(F56,D72)</f>
        <v>4000</v>
      </c>
      <c r="E76" s="52"/>
      <c r="F76" s="53"/>
    </row>
    <row r="77" spans="1:19" x14ac:dyDescent="0.4">
      <c r="C77" s="236" t="s">
        <v>55</v>
      </c>
      <c r="D77" s="51" t="s">
        <v>54</v>
      </c>
      <c r="E77" s="52"/>
      <c r="F77" s="53"/>
    </row>
    <row r="78" spans="1:19" x14ac:dyDescent="0.4">
      <c r="C78" s="69">
        <f>+D76*0.6</f>
        <v>2400</v>
      </c>
      <c r="D78" s="235">
        <f>+D76*0.4</f>
        <v>1600</v>
      </c>
      <c r="E78" s="55"/>
      <c r="F78" s="54"/>
    </row>
    <row r="79" spans="1:19" x14ac:dyDescent="0.4">
      <c r="B79" s="4" t="s">
        <v>892</v>
      </c>
      <c r="C79" s="82">
        <f>+C78</f>
        <v>2400</v>
      </c>
    </row>
    <row r="82" spans="1:19" x14ac:dyDescent="0.4">
      <c r="A82" s="4" t="s">
        <v>829</v>
      </c>
      <c r="C82" s="62" t="s">
        <v>915</v>
      </c>
      <c r="D82" s="51"/>
      <c r="E82" s="51" t="s">
        <v>8</v>
      </c>
      <c r="F82" s="51"/>
    </row>
    <row r="83" spans="1:19" x14ac:dyDescent="0.4">
      <c r="C83" s="61" t="s">
        <v>895</v>
      </c>
      <c r="D83" s="48">
        <v>6000</v>
      </c>
      <c r="E83" s="49" t="s">
        <v>894</v>
      </c>
      <c r="F83" s="50">
        <v>10000</v>
      </c>
    </row>
    <row r="84" spans="1:19" x14ac:dyDescent="0.4">
      <c r="C84" s="65"/>
      <c r="D84" s="51"/>
      <c r="E84" s="52"/>
      <c r="F84" s="53"/>
    </row>
    <row r="85" spans="1:19" x14ac:dyDescent="0.4">
      <c r="C85" s="67" t="s">
        <v>37</v>
      </c>
      <c r="D85" s="68">
        <v>1000</v>
      </c>
      <c r="E85" s="52"/>
      <c r="F85" s="53"/>
    </row>
    <row r="86" spans="1:19" x14ac:dyDescent="0.4">
      <c r="C86" s="69"/>
      <c r="D86" s="70"/>
      <c r="E86" s="52"/>
      <c r="F86" s="53"/>
    </row>
    <row r="87" spans="1:19" x14ac:dyDescent="0.4">
      <c r="C87" s="236" t="s">
        <v>53</v>
      </c>
      <c r="D87" s="71">
        <f>+F83-D83-D85</f>
        <v>3000</v>
      </c>
      <c r="E87" s="52"/>
      <c r="F87" s="53"/>
    </row>
    <row r="88" spans="1:19" x14ac:dyDescent="0.4">
      <c r="C88" s="236" t="s">
        <v>55</v>
      </c>
      <c r="D88" s="51" t="s">
        <v>54</v>
      </c>
      <c r="E88" s="52"/>
      <c r="F88" s="53"/>
    </row>
    <row r="89" spans="1:19" x14ac:dyDescent="0.4">
      <c r="C89" s="69">
        <f>+D87*0.6</f>
        <v>1800</v>
      </c>
      <c r="D89" s="235">
        <f>+D87*0.4</f>
        <v>1200</v>
      </c>
      <c r="E89" s="55"/>
      <c r="F89" s="54"/>
    </row>
    <row r="90" spans="1:19" x14ac:dyDescent="0.4">
      <c r="B90" s="4" t="s">
        <v>892</v>
      </c>
      <c r="C90" s="82">
        <f>+C89+D85</f>
        <v>2800</v>
      </c>
      <c r="D90" s="4" t="s">
        <v>914</v>
      </c>
    </row>
    <row r="91" spans="1:19" x14ac:dyDescent="0.4">
      <c r="D91" s="4" t="s">
        <v>913</v>
      </c>
    </row>
    <row r="93" spans="1:19" x14ac:dyDescent="0.4">
      <c r="A93" s="233" t="s">
        <v>912</v>
      </c>
      <c r="B93" s="232"/>
      <c r="C93" s="232"/>
      <c r="D93" s="232"/>
      <c r="E93" s="232"/>
      <c r="F93" s="232"/>
      <c r="G93" s="232"/>
      <c r="H93" s="232"/>
      <c r="I93" s="232"/>
      <c r="J93" s="232"/>
      <c r="K93" s="232"/>
      <c r="L93" s="232"/>
      <c r="M93" s="232"/>
      <c r="N93" s="232"/>
      <c r="O93" s="232"/>
      <c r="P93" s="232"/>
      <c r="Q93" s="232"/>
      <c r="R93" s="232"/>
      <c r="S93" s="231"/>
    </row>
    <row r="94" spans="1:19" x14ac:dyDescent="0.4">
      <c r="A94" s="111" t="s">
        <v>911</v>
      </c>
      <c r="B94" s="230"/>
      <c r="C94" s="230"/>
      <c r="D94" s="230"/>
      <c r="E94" s="230"/>
      <c r="F94" s="230"/>
      <c r="G94" s="230"/>
      <c r="H94" s="230"/>
      <c r="I94" s="230"/>
      <c r="J94" s="230"/>
      <c r="K94" s="230"/>
      <c r="L94" s="230"/>
      <c r="M94" s="230"/>
      <c r="N94" s="230"/>
      <c r="O94" s="230"/>
      <c r="P94" s="230"/>
      <c r="Q94" s="230"/>
      <c r="R94" s="230"/>
      <c r="S94" s="229"/>
    </row>
    <row r="95" spans="1:19" x14ac:dyDescent="0.4">
      <c r="A95" s="228" t="s">
        <v>910</v>
      </c>
      <c r="B95" s="226"/>
      <c r="C95" s="226"/>
      <c r="D95" s="226"/>
      <c r="E95" s="226"/>
      <c r="F95" s="226"/>
      <c r="G95" s="226"/>
      <c r="H95" s="226"/>
      <c r="I95" s="226"/>
      <c r="J95" s="227"/>
      <c r="K95" s="226"/>
      <c r="L95" s="226"/>
      <c r="M95" s="226"/>
      <c r="N95" s="226"/>
      <c r="O95" s="226"/>
      <c r="P95" s="226"/>
      <c r="Q95" s="226"/>
      <c r="R95" s="226"/>
      <c r="S95" s="225"/>
    </row>
    <row r="98" spans="1:13" x14ac:dyDescent="0.4">
      <c r="C98" s="24" t="s">
        <v>909</v>
      </c>
      <c r="D98" s="25" t="s">
        <v>908</v>
      </c>
      <c r="E98" s="25" t="s">
        <v>907</v>
      </c>
      <c r="F98" s="25" t="s">
        <v>62</v>
      </c>
      <c r="G98" s="25" t="s">
        <v>63</v>
      </c>
      <c r="H98" s="25" t="s">
        <v>64</v>
      </c>
      <c r="J98" s="4" t="s">
        <v>28</v>
      </c>
    </row>
    <row r="99" spans="1:13" x14ac:dyDescent="0.4">
      <c r="C99" s="26"/>
      <c r="D99" s="27"/>
      <c r="E99" s="27"/>
      <c r="F99" s="27"/>
      <c r="G99" s="27"/>
      <c r="H99" s="30"/>
      <c r="J99" s="4" t="s">
        <v>877</v>
      </c>
      <c r="K99" s="4">
        <v>20000</v>
      </c>
    </row>
    <row r="100" spans="1:13" x14ac:dyDescent="0.4">
      <c r="B100" s="4" t="s">
        <v>893</v>
      </c>
      <c r="C100" s="4">
        <v>20000</v>
      </c>
      <c r="J100" s="4" t="s">
        <v>31</v>
      </c>
      <c r="K100" s="4">
        <v>5</v>
      </c>
    </row>
    <row r="101" spans="1:13" x14ac:dyDescent="0.4">
      <c r="J101" s="4" t="s">
        <v>30</v>
      </c>
      <c r="K101" s="4">
        <f>+K99*0.1</f>
        <v>2000</v>
      </c>
    </row>
    <row r="102" spans="1:13" x14ac:dyDescent="0.4">
      <c r="A102" s="4" t="s">
        <v>906</v>
      </c>
      <c r="J102" s="4" t="s">
        <v>32</v>
      </c>
      <c r="K102" s="4">
        <f>+(K99-K101)/K100</f>
        <v>3600</v>
      </c>
    </row>
    <row r="103" spans="1:13" x14ac:dyDescent="0.4">
      <c r="B103" s="4" t="s">
        <v>893</v>
      </c>
      <c r="C103" s="4">
        <v>20000</v>
      </c>
    </row>
    <row r="104" spans="1:13" x14ac:dyDescent="0.4">
      <c r="B104" s="4" t="s">
        <v>892</v>
      </c>
      <c r="D104" s="237">
        <f>+K114+K116</f>
        <v>7000</v>
      </c>
      <c r="E104" s="237">
        <f>+D104</f>
        <v>7000</v>
      </c>
      <c r="F104" s="237">
        <f>+E104</f>
        <v>7000</v>
      </c>
      <c r="G104" s="237">
        <f>+F104</f>
        <v>7000</v>
      </c>
      <c r="H104" s="237">
        <f>+G104</f>
        <v>7000</v>
      </c>
      <c r="J104" s="4" t="s">
        <v>905</v>
      </c>
    </row>
    <row r="105" spans="1:13" x14ac:dyDescent="0.4">
      <c r="B105" s="4" t="s">
        <v>71</v>
      </c>
      <c r="H105" s="4">
        <v>1200</v>
      </c>
      <c r="K105" s="4" t="s">
        <v>904</v>
      </c>
      <c r="L105" s="4" t="s">
        <v>903</v>
      </c>
    </row>
    <row r="106" spans="1:13" x14ac:dyDescent="0.4">
      <c r="B106" s="4" t="s">
        <v>165</v>
      </c>
      <c r="H106" s="237"/>
      <c r="J106" s="4" t="s">
        <v>400</v>
      </c>
      <c r="K106" s="4">
        <v>42000</v>
      </c>
      <c r="L106" s="4">
        <v>65000</v>
      </c>
      <c r="M106" s="4" t="s">
        <v>902</v>
      </c>
    </row>
    <row r="107" spans="1:13" x14ac:dyDescent="0.4">
      <c r="B107" s="4" t="s">
        <v>863</v>
      </c>
      <c r="C107" s="82">
        <f>-C103</f>
        <v>-20000</v>
      </c>
      <c r="D107" s="82">
        <f>+SUM(D104:D106)</f>
        <v>7000</v>
      </c>
      <c r="E107" s="82">
        <f>+SUM(E104:E106)</f>
        <v>7000</v>
      </c>
      <c r="F107" s="82">
        <f>+SUM(F104:F106)</f>
        <v>7000</v>
      </c>
      <c r="G107" s="82">
        <f>+SUM(G104:G106)</f>
        <v>7000</v>
      </c>
      <c r="H107" s="82">
        <f>+SUM(H104:H106)</f>
        <v>8200</v>
      </c>
      <c r="J107" s="4" t="s">
        <v>177</v>
      </c>
      <c r="K107" s="4">
        <v>18000</v>
      </c>
      <c r="L107" s="4">
        <v>34000</v>
      </c>
    </row>
    <row r="108" spans="1:13" x14ac:dyDescent="0.4">
      <c r="B108" s="4" t="s">
        <v>861</v>
      </c>
      <c r="C108" s="4">
        <f>-C103</f>
        <v>-20000</v>
      </c>
      <c r="D108" s="4">
        <f>+D107*D$122</f>
        <v>6666.8</v>
      </c>
      <c r="E108" s="4">
        <f>+E107*E$122</f>
        <v>6349</v>
      </c>
      <c r="F108" s="4">
        <f>+F107*F$122</f>
        <v>6046.6</v>
      </c>
      <c r="G108" s="4">
        <f>+G107*G$122</f>
        <v>5758.9</v>
      </c>
      <c r="H108" s="4">
        <f>+H107*H$122</f>
        <v>6424.7</v>
      </c>
      <c r="J108" s="4" t="s">
        <v>37</v>
      </c>
      <c r="K108" s="4">
        <v>7000</v>
      </c>
      <c r="L108" s="4" t="s">
        <v>901</v>
      </c>
    </row>
    <row r="109" spans="1:13" x14ac:dyDescent="0.4">
      <c r="B109" s="4" t="s">
        <v>900</v>
      </c>
      <c r="C109" s="238">
        <f>+SUM(C108:H108)</f>
        <v>11246</v>
      </c>
    </row>
    <row r="110" spans="1:13" x14ac:dyDescent="0.4">
      <c r="J110" s="4" t="s">
        <v>899</v>
      </c>
    </row>
    <row r="111" spans="1:13" x14ac:dyDescent="0.4">
      <c r="J111" s="62" t="s">
        <v>898</v>
      </c>
      <c r="K111" s="51"/>
      <c r="L111" s="51" t="s">
        <v>897</v>
      </c>
      <c r="M111" s="51"/>
    </row>
    <row r="112" spans="1:13" x14ac:dyDescent="0.4">
      <c r="A112" s="4" t="s">
        <v>896</v>
      </c>
      <c r="J112" s="61" t="s">
        <v>895</v>
      </c>
      <c r="K112" s="48">
        <f>+L107-K107</f>
        <v>16000</v>
      </c>
      <c r="L112" s="49" t="s">
        <v>894</v>
      </c>
      <c r="M112" s="50">
        <f>+L106-K106</f>
        <v>23000</v>
      </c>
    </row>
    <row r="113" spans="1:19" x14ac:dyDescent="0.4">
      <c r="B113" s="4" t="s">
        <v>893</v>
      </c>
      <c r="C113" s="4">
        <v>20000</v>
      </c>
      <c r="J113" s="65"/>
      <c r="K113" s="51"/>
      <c r="L113" s="52"/>
      <c r="M113" s="53"/>
    </row>
    <row r="114" spans="1:19" x14ac:dyDescent="0.4">
      <c r="B114" s="4" t="s">
        <v>892</v>
      </c>
      <c r="D114" s="237">
        <f>+J119</f>
        <v>5640</v>
      </c>
      <c r="E114" s="237">
        <f>+D114</f>
        <v>5640</v>
      </c>
      <c r="F114" s="237">
        <f>+E114</f>
        <v>5640</v>
      </c>
      <c r="G114" s="237">
        <f>+F114</f>
        <v>5640</v>
      </c>
      <c r="H114" s="237">
        <f>+G114</f>
        <v>5640</v>
      </c>
      <c r="J114" s="67" t="s">
        <v>37</v>
      </c>
      <c r="K114" s="68">
        <f>+K102</f>
        <v>3600</v>
      </c>
      <c r="L114" s="52"/>
      <c r="M114" s="53"/>
    </row>
    <row r="115" spans="1:19" x14ac:dyDescent="0.4">
      <c r="B115" s="4" t="s">
        <v>71</v>
      </c>
      <c r="H115" s="4">
        <v>1200</v>
      </c>
      <c r="J115" s="69"/>
      <c r="K115" s="70"/>
      <c r="L115" s="52"/>
      <c r="M115" s="53"/>
    </row>
    <row r="116" spans="1:19" x14ac:dyDescent="0.4">
      <c r="B116" s="4" t="s">
        <v>165</v>
      </c>
      <c r="H116" s="237">
        <f>+(K101-H115)*0.4</f>
        <v>320</v>
      </c>
      <c r="J116" s="236" t="s">
        <v>53</v>
      </c>
      <c r="K116" s="71">
        <f>+M112-K112-K114</f>
        <v>3400</v>
      </c>
      <c r="L116" s="52"/>
      <c r="M116" s="53"/>
    </row>
    <row r="117" spans="1:19" x14ac:dyDescent="0.4">
      <c r="B117" s="4" t="s">
        <v>863</v>
      </c>
      <c r="C117" s="82">
        <f>-C113</f>
        <v>-20000</v>
      </c>
      <c r="D117" s="82">
        <f>+SUM(D114:D116)</f>
        <v>5640</v>
      </c>
      <c r="E117" s="82">
        <f>+SUM(E114:E116)</f>
        <v>5640</v>
      </c>
      <c r="F117" s="82">
        <f>+SUM(F114:F116)</f>
        <v>5640</v>
      </c>
      <c r="G117" s="82">
        <f>+SUM(G114:G116)</f>
        <v>5640</v>
      </c>
      <c r="H117" s="82">
        <f>+SUM(H114:H116)</f>
        <v>7160</v>
      </c>
      <c r="J117" s="236" t="s">
        <v>55</v>
      </c>
      <c r="K117" s="51" t="s">
        <v>54</v>
      </c>
      <c r="L117" s="52"/>
      <c r="M117" s="53"/>
    </row>
    <row r="118" spans="1:19" x14ac:dyDescent="0.4">
      <c r="B118" s="4" t="s">
        <v>861</v>
      </c>
      <c r="C118" s="4">
        <f>-C113</f>
        <v>-20000</v>
      </c>
      <c r="D118" s="4">
        <f>+SUM(D114:D116)*D$122</f>
        <v>5371.5360000000001</v>
      </c>
      <c r="E118" s="4">
        <f>+SUM(E114:E116)*E$122</f>
        <v>5115.4800000000005</v>
      </c>
      <c r="F118" s="4">
        <f>+SUM(F114:F116)*F$122</f>
        <v>4871.8320000000003</v>
      </c>
      <c r="G118" s="4">
        <f>+SUM(G114:G116)*G$122</f>
        <v>4640.0280000000002</v>
      </c>
      <c r="H118" s="4">
        <f>+SUM(H114:H116)*H$122</f>
        <v>5609.86</v>
      </c>
      <c r="J118" s="69">
        <f>+K116*0.6</f>
        <v>2040</v>
      </c>
      <c r="K118" s="235">
        <f>+K116*0.4</f>
        <v>1360</v>
      </c>
      <c r="L118" s="55"/>
      <c r="M118" s="54"/>
    </row>
    <row r="119" spans="1:19" x14ac:dyDescent="0.4">
      <c r="A119" s="4" t="s">
        <v>822</v>
      </c>
      <c r="B119" s="4" t="s">
        <v>891</v>
      </c>
      <c r="C119" s="234">
        <f>+SUM(C118:H118)</f>
        <v>5608.7359999999999</v>
      </c>
      <c r="J119" s="136">
        <f>+J118+K114</f>
        <v>5640</v>
      </c>
    </row>
    <row r="122" spans="1:19" x14ac:dyDescent="0.4">
      <c r="B122" s="4" t="s">
        <v>1</v>
      </c>
      <c r="D122" s="119">
        <v>0.95240000000000002</v>
      </c>
      <c r="E122" s="119">
        <v>0.90700000000000003</v>
      </c>
      <c r="F122" s="119">
        <v>0.86380000000000001</v>
      </c>
      <c r="G122" s="119">
        <v>0.82269999999999999</v>
      </c>
      <c r="H122" s="119">
        <v>0.78349999999999997</v>
      </c>
    </row>
    <row r="125" spans="1:19" x14ac:dyDescent="0.4">
      <c r="A125" s="233" t="s">
        <v>890</v>
      </c>
      <c r="B125" s="232"/>
      <c r="C125" s="232"/>
      <c r="D125" s="232"/>
      <c r="E125" s="232"/>
      <c r="F125" s="232"/>
      <c r="G125" s="232"/>
      <c r="H125" s="232"/>
      <c r="I125" s="232"/>
      <c r="J125" s="232"/>
      <c r="K125" s="232"/>
      <c r="L125" s="232"/>
      <c r="M125" s="232"/>
      <c r="N125" s="232"/>
      <c r="O125" s="232"/>
      <c r="P125" s="232"/>
      <c r="Q125" s="232"/>
      <c r="R125" s="232"/>
      <c r="S125" s="231"/>
    </row>
    <row r="126" spans="1:19" x14ac:dyDescent="0.4">
      <c r="A126" s="111" t="s">
        <v>889</v>
      </c>
      <c r="B126" s="230"/>
      <c r="C126" s="230"/>
      <c r="D126" s="230"/>
      <c r="E126" s="230"/>
      <c r="F126" s="230"/>
      <c r="G126" s="230"/>
      <c r="H126" s="230"/>
      <c r="I126" s="230"/>
      <c r="J126" s="230"/>
      <c r="K126" s="230"/>
      <c r="L126" s="230"/>
      <c r="M126" s="230"/>
      <c r="N126" s="230"/>
      <c r="O126" s="230"/>
      <c r="P126" s="230"/>
      <c r="Q126" s="230"/>
      <c r="R126" s="230"/>
      <c r="S126" s="229"/>
    </row>
    <row r="127" spans="1:19" x14ac:dyDescent="0.4">
      <c r="A127" s="228" t="s">
        <v>888</v>
      </c>
      <c r="B127" s="226"/>
      <c r="C127" s="226"/>
      <c r="D127" s="226"/>
      <c r="E127" s="226"/>
      <c r="F127" s="226"/>
      <c r="G127" s="226"/>
      <c r="H127" s="226"/>
      <c r="I127" s="226"/>
      <c r="J127" s="227"/>
      <c r="K127" s="226"/>
      <c r="L127" s="226"/>
      <c r="M127" s="226"/>
      <c r="N127" s="226"/>
      <c r="O127" s="226"/>
      <c r="P127" s="226"/>
      <c r="Q127" s="226"/>
      <c r="R127" s="226"/>
      <c r="S127" s="225"/>
    </row>
    <row r="129" spans="2:12" x14ac:dyDescent="0.4">
      <c r="B129" s="4" t="s">
        <v>887</v>
      </c>
    </row>
    <row r="131" spans="2:12" x14ac:dyDescent="0.4">
      <c r="B131" s="4" t="s">
        <v>886</v>
      </c>
    </row>
    <row r="132" spans="2:12" x14ac:dyDescent="0.4">
      <c r="B132" s="4" t="s">
        <v>885</v>
      </c>
    </row>
    <row r="133" spans="2:12" x14ac:dyDescent="0.4">
      <c r="B133" s="183" t="s">
        <v>884</v>
      </c>
    </row>
    <row r="134" spans="2:12" x14ac:dyDescent="0.4">
      <c r="B134" s="4" t="s">
        <v>883</v>
      </c>
    </row>
    <row r="136" spans="2:12" x14ac:dyDescent="0.4">
      <c r="C136" s="24" t="s">
        <v>882</v>
      </c>
      <c r="D136" s="25" t="s">
        <v>881</v>
      </c>
      <c r="E136" s="25" t="s">
        <v>880</v>
      </c>
      <c r="F136" s="25" t="s">
        <v>62</v>
      </c>
      <c r="I136" s="4" t="s">
        <v>28</v>
      </c>
    </row>
    <row r="137" spans="2:12" x14ac:dyDescent="0.4">
      <c r="C137" s="26"/>
      <c r="D137" s="27"/>
      <c r="E137" s="27"/>
      <c r="F137" s="27"/>
      <c r="J137" s="4" t="s">
        <v>69</v>
      </c>
      <c r="K137" s="4" t="s">
        <v>51</v>
      </c>
      <c r="L137" s="4" t="s">
        <v>52</v>
      </c>
    </row>
    <row r="138" spans="2:12" x14ac:dyDescent="0.4">
      <c r="B138" s="4" t="s">
        <v>879</v>
      </c>
      <c r="C138" s="4">
        <f>+SUM(J138:L138)</f>
        <v>8000</v>
      </c>
      <c r="G138" s="4" t="s">
        <v>878</v>
      </c>
      <c r="I138" s="4" t="s">
        <v>877</v>
      </c>
      <c r="J138" s="4">
        <v>1000</v>
      </c>
      <c r="K138" s="4">
        <v>3000</v>
      </c>
      <c r="L138" s="4">
        <v>4000</v>
      </c>
    </row>
    <row r="139" spans="2:12" x14ac:dyDescent="0.4">
      <c r="B139" s="4" t="s">
        <v>876</v>
      </c>
      <c r="D139" s="4">
        <f>+(D156-D157)*0.6</f>
        <v>2070</v>
      </c>
      <c r="E139" s="4">
        <f>+(E156-E157)*0.6</f>
        <v>2448</v>
      </c>
      <c r="F139" s="136">
        <f>+(F156-F157)*0.6</f>
        <v>1680</v>
      </c>
      <c r="G139" s="4" t="s">
        <v>875</v>
      </c>
      <c r="I139" s="4" t="s">
        <v>205</v>
      </c>
      <c r="J139" s="4" t="s">
        <v>874</v>
      </c>
      <c r="K139" s="4">
        <v>10</v>
      </c>
      <c r="L139" s="4">
        <v>5</v>
      </c>
    </row>
    <row r="140" spans="2:12" x14ac:dyDescent="0.4">
      <c r="B140" s="4" t="s">
        <v>873</v>
      </c>
      <c r="D140" s="4">
        <f>+SUM(K141:L141)*0.4</f>
        <v>396</v>
      </c>
      <c r="E140" s="4">
        <f>+D140</f>
        <v>396</v>
      </c>
      <c r="F140" s="136">
        <f>+E140</f>
        <v>396</v>
      </c>
      <c r="G140" s="4" t="s">
        <v>872</v>
      </c>
      <c r="I140" s="4" t="s">
        <v>30</v>
      </c>
      <c r="J140" s="4">
        <f>+J138</f>
        <v>1000</v>
      </c>
      <c r="K140" s="4">
        <f>+K138*0.1</f>
        <v>300</v>
      </c>
      <c r="L140" s="4">
        <f>+L138*0.1</f>
        <v>400</v>
      </c>
    </row>
    <row r="141" spans="2:12" x14ac:dyDescent="0.4">
      <c r="B141" s="4" t="s">
        <v>871</v>
      </c>
      <c r="I141" s="4" t="s">
        <v>32</v>
      </c>
      <c r="J141" s="4" t="s">
        <v>870</v>
      </c>
      <c r="K141" s="4">
        <f>+(K138-K140)/10</f>
        <v>270</v>
      </c>
      <c r="L141" s="4">
        <f>+(L138-L140)/5</f>
        <v>720</v>
      </c>
    </row>
    <row r="142" spans="2:12" x14ac:dyDescent="0.4">
      <c r="B142" s="118" t="s">
        <v>69</v>
      </c>
      <c r="F142" s="4">
        <f>+J144-J145*0.4</f>
        <v>1060</v>
      </c>
      <c r="G142" s="4" t="s">
        <v>869</v>
      </c>
    </row>
    <row r="143" spans="2:12" x14ac:dyDescent="0.4">
      <c r="B143" s="118" t="s">
        <v>51</v>
      </c>
      <c r="F143" s="4">
        <f>-K145*0.4</f>
        <v>876</v>
      </c>
      <c r="G143" s="4" t="s">
        <v>868</v>
      </c>
      <c r="I143" s="4" t="s">
        <v>867</v>
      </c>
      <c r="J143" s="4">
        <f>+J140</f>
        <v>1000</v>
      </c>
      <c r="K143" s="4">
        <f>+K138-K141*3</f>
        <v>2190</v>
      </c>
      <c r="L143" s="4">
        <f>+L138-L141*3</f>
        <v>1840</v>
      </c>
    </row>
    <row r="144" spans="2:12" x14ac:dyDescent="0.4">
      <c r="B144" s="118" t="s">
        <v>52</v>
      </c>
      <c r="F144" s="4">
        <f>+L144</f>
        <v>1840</v>
      </c>
      <c r="G144" s="4" t="s">
        <v>866</v>
      </c>
      <c r="I144" s="4" t="s">
        <v>71</v>
      </c>
      <c r="J144" s="4">
        <f>+J143*1.1</f>
        <v>1100</v>
      </c>
      <c r="K144" s="4">
        <v>0</v>
      </c>
      <c r="L144" s="4">
        <f>+L143</f>
        <v>1840</v>
      </c>
    </row>
    <row r="145" spans="1:12" x14ac:dyDescent="0.4">
      <c r="B145" s="4" t="s">
        <v>865</v>
      </c>
      <c r="C145" s="4">
        <f>-C164</f>
        <v>-1400</v>
      </c>
      <c r="D145" s="4">
        <f>-D164+C164</f>
        <v>-280</v>
      </c>
      <c r="E145" s="4">
        <f>-E164+D164</f>
        <v>140</v>
      </c>
      <c r="F145" s="136">
        <f>-F164+E164</f>
        <v>1540</v>
      </c>
      <c r="G145" s="4" t="s">
        <v>864</v>
      </c>
      <c r="I145" s="4" t="s">
        <v>72</v>
      </c>
      <c r="J145" s="4">
        <f>+J144-J143</f>
        <v>100</v>
      </c>
      <c r="K145" s="4">
        <f>+K144-K143</f>
        <v>-2190</v>
      </c>
      <c r="L145" s="4">
        <f>+L144-L143</f>
        <v>0</v>
      </c>
    </row>
    <row r="146" spans="1:12" x14ac:dyDescent="0.4">
      <c r="B146" s="4" t="s">
        <v>863</v>
      </c>
      <c r="C146" s="4">
        <f>-C138+C145</f>
        <v>-9400</v>
      </c>
      <c r="D146" s="4">
        <f>+SUM(D139:D145)</f>
        <v>2186</v>
      </c>
      <c r="E146" s="4">
        <f>+SUM(E139:E145)</f>
        <v>2984</v>
      </c>
      <c r="F146" s="4">
        <f>+SUM(F139:F145)</f>
        <v>7392</v>
      </c>
    </row>
    <row r="147" spans="1:12" x14ac:dyDescent="0.4">
      <c r="A147" s="4" t="s">
        <v>843</v>
      </c>
      <c r="B147" s="4" t="s">
        <v>99</v>
      </c>
      <c r="C147" s="83">
        <f>+IRR(C146:F146)</f>
        <v>0.12971475744574024</v>
      </c>
      <c r="D147" s="4" t="s">
        <v>862</v>
      </c>
    </row>
    <row r="148" spans="1:12" x14ac:dyDescent="0.4">
      <c r="B148" s="4" t="s">
        <v>861</v>
      </c>
      <c r="C148" s="4">
        <f>+C146*C152</f>
        <v>-9400</v>
      </c>
      <c r="D148" s="4">
        <f>+D146*D152</f>
        <v>2024.0174</v>
      </c>
      <c r="E148" s="4">
        <f>+E146*E152</f>
        <v>2558.1831999999999</v>
      </c>
      <c r="F148" s="4">
        <f>+F146*F152</f>
        <v>5867.7695999999996</v>
      </c>
    </row>
    <row r="149" spans="1:12" x14ac:dyDescent="0.4">
      <c r="A149" s="4" t="s">
        <v>829</v>
      </c>
      <c r="B149" s="4" t="s">
        <v>860</v>
      </c>
      <c r="C149" s="82">
        <f>+SUM(C148:F148)</f>
        <v>1049.9701999999997</v>
      </c>
      <c r="D149" s="4" t="s">
        <v>859</v>
      </c>
    </row>
    <row r="152" spans="1:12" x14ac:dyDescent="0.4">
      <c r="B152" s="4" t="s">
        <v>1</v>
      </c>
      <c r="C152" s="4">
        <v>1</v>
      </c>
      <c r="D152" s="28">
        <v>0.92589999999999995</v>
      </c>
      <c r="E152" s="28">
        <v>0.85729999999999995</v>
      </c>
      <c r="F152" s="28">
        <v>0.79379999999999995</v>
      </c>
    </row>
    <row r="154" spans="1:12" x14ac:dyDescent="0.4">
      <c r="A154" s="224" t="s">
        <v>858</v>
      </c>
      <c r="B154" s="223" t="s">
        <v>857</v>
      </c>
      <c r="C154" s="222"/>
      <c r="D154" s="222"/>
      <c r="E154" s="222"/>
      <c r="F154" s="222"/>
      <c r="G154" s="221"/>
    </row>
    <row r="155" spans="1:12" x14ac:dyDescent="0.4">
      <c r="A155" s="220"/>
      <c r="B155" s="93"/>
      <c r="C155" s="93"/>
      <c r="D155" s="93"/>
      <c r="E155" s="93"/>
      <c r="F155" s="93"/>
      <c r="G155" s="218"/>
    </row>
    <row r="156" spans="1:12" x14ac:dyDescent="0.4">
      <c r="A156" s="220"/>
      <c r="B156" s="93" t="s">
        <v>400</v>
      </c>
      <c r="C156" s="93"/>
      <c r="D156" s="93">
        <v>20000</v>
      </c>
      <c r="E156" s="93">
        <v>24000</v>
      </c>
      <c r="F156" s="93">
        <v>22000</v>
      </c>
      <c r="G156" s="218"/>
    </row>
    <row r="157" spans="1:12" x14ac:dyDescent="0.4">
      <c r="A157" s="220"/>
      <c r="B157" s="93" t="s">
        <v>177</v>
      </c>
      <c r="C157" s="93"/>
      <c r="D157" s="93">
        <v>16550</v>
      </c>
      <c r="E157" s="93">
        <v>19920</v>
      </c>
      <c r="F157" s="93">
        <v>19200</v>
      </c>
      <c r="G157" s="218"/>
    </row>
    <row r="158" spans="1:12" x14ac:dyDescent="0.4">
      <c r="A158" s="220"/>
      <c r="B158" s="93"/>
      <c r="C158" s="93"/>
      <c r="D158" s="93"/>
      <c r="E158" s="93"/>
      <c r="F158" s="93"/>
      <c r="G158" s="218"/>
    </row>
    <row r="159" spans="1:12" x14ac:dyDescent="0.4">
      <c r="A159" s="220"/>
      <c r="B159" s="93" t="s">
        <v>856</v>
      </c>
      <c r="C159" s="93"/>
      <c r="D159" s="93"/>
      <c r="E159" s="93"/>
      <c r="F159" s="93"/>
      <c r="G159" s="218"/>
    </row>
    <row r="160" spans="1:12" x14ac:dyDescent="0.4">
      <c r="A160" s="220"/>
      <c r="B160" s="93"/>
      <c r="C160" s="93"/>
      <c r="D160" s="93"/>
      <c r="E160" s="93"/>
      <c r="F160" s="93"/>
      <c r="G160" s="218"/>
    </row>
    <row r="161" spans="1:10" x14ac:dyDescent="0.4">
      <c r="A161" s="220"/>
      <c r="B161" s="93" t="s">
        <v>65</v>
      </c>
      <c r="C161" s="93">
        <f>+D$156*0.1</f>
        <v>2000</v>
      </c>
      <c r="D161" s="93">
        <f>+E$156*0.1</f>
        <v>2400</v>
      </c>
      <c r="E161" s="93">
        <f>+F$156*0.1</f>
        <v>2200</v>
      </c>
      <c r="F161" s="93">
        <f>+G$156*0.1</f>
        <v>0</v>
      </c>
      <c r="G161" s="218"/>
    </row>
    <row r="162" spans="1:10" x14ac:dyDescent="0.4">
      <c r="A162" s="220"/>
      <c r="B162" s="93" t="s">
        <v>66</v>
      </c>
      <c r="C162" s="93">
        <f>+D$156*0.05</f>
        <v>1000</v>
      </c>
      <c r="D162" s="93">
        <f>+E$156*0.05</f>
        <v>1200</v>
      </c>
      <c r="E162" s="93">
        <f>+F$156*0.05</f>
        <v>1100</v>
      </c>
      <c r="F162" s="93">
        <f>+G$156*0.05</f>
        <v>0</v>
      </c>
      <c r="G162" s="218"/>
    </row>
    <row r="163" spans="1:10" x14ac:dyDescent="0.4">
      <c r="A163" s="220"/>
      <c r="B163" s="93" t="s">
        <v>67</v>
      </c>
      <c r="C163" s="93">
        <f>-D$156*0.08</f>
        <v>-1600</v>
      </c>
      <c r="D163" s="93">
        <f>-E$156*0.08</f>
        <v>-1920</v>
      </c>
      <c r="E163" s="93">
        <f>-F$156*0.08</f>
        <v>-1760</v>
      </c>
      <c r="F163" s="93">
        <f>-G$156*0.08</f>
        <v>0</v>
      </c>
      <c r="G163" s="218"/>
    </row>
    <row r="164" spans="1:10" ht="16.8" thickBot="1" x14ac:dyDescent="0.45">
      <c r="A164" s="220"/>
      <c r="B164" s="93" t="s">
        <v>855</v>
      </c>
      <c r="C164" s="219">
        <f>+SUM(C161:C163)</f>
        <v>1400</v>
      </c>
      <c r="D164" s="219">
        <f>+SUM(D161:D163)</f>
        <v>1680</v>
      </c>
      <c r="E164" s="219">
        <f>+SUM(E161:E163)</f>
        <v>1540</v>
      </c>
      <c r="F164" s="219">
        <f>+SUM(F161:F163)</f>
        <v>0</v>
      </c>
      <c r="G164" s="218"/>
    </row>
    <row r="165" spans="1:10" ht="16.8" thickTop="1" x14ac:dyDescent="0.4">
      <c r="A165" s="217"/>
      <c r="B165" s="216"/>
      <c r="C165" s="216"/>
      <c r="D165" s="216"/>
      <c r="E165" s="216"/>
      <c r="F165" s="216"/>
      <c r="G165" s="215"/>
    </row>
    <row r="167" spans="1:10" x14ac:dyDescent="0.4">
      <c r="B167" s="4" t="s">
        <v>854</v>
      </c>
    </row>
    <row r="168" spans="1:10" x14ac:dyDescent="0.4">
      <c r="B168" s="4" t="s">
        <v>853</v>
      </c>
    </row>
    <row r="170" spans="1:10" x14ac:dyDescent="0.4">
      <c r="B170" s="4" t="s">
        <v>852</v>
      </c>
    </row>
    <row r="171" spans="1:10" x14ac:dyDescent="0.4">
      <c r="B171" s="4" t="s">
        <v>851</v>
      </c>
    </row>
    <row r="173" spans="1:10" x14ac:dyDescent="0.4">
      <c r="B173" s="214" t="s">
        <v>850</v>
      </c>
      <c r="C173" s="213"/>
      <c r="D173" s="213"/>
      <c r="E173" s="213"/>
      <c r="F173" s="213"/>
      <c r="G173" s="213"/>
      <c r="H173" s="213"/>
      <c r="I173" s="213"/>
      <c r="J173" s="212"/>
    </row>
    <row r="174" spans="1:10" x14ac:dyDescent="0.4">
      <c r="B174" s="211" t="s">
        <v>849</v>
      </c>
      <c r="C174" s="17"/>
      <c r="D174" s="17"/>
      <c r="E174" s="17"/>
      <c r="F174" s="17"/>
      <c r="G174" s="17"/>
      <c r="H174" s="17"/>
      <c r="I174" s="17"/>
      <c r="J174" s="210"/>
    </row>
    <row r="175" spans="1:10" x14ac:dyDescent="0.4">
      <c r="B175" s="209" t="s">
        <v>848</v>
      </c>
      <c r="C175" s="208"/>
      <c r="D175" s="208"/>
      <c r="E175" s="208"/>
      <c r="F175" s="208"/>
      <c r="G175" s="208"/>
      <c r="H175" s="208"/>
      <c r="I175" s="208"/>
      <c r="J175" s="207"/>
    </row>
  </sheetData>
  <mergeCells count="1">
    <mergeCell ref="D19:F19"/>
  </mergeCells>
  <phoneticPr fontId="3"/>
  <pageMargins left="0.25" right="0.25"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3"/>
  <sheetViews>
    <sheetView zoomScale="90" zoomScaleNormal="90" workbookViewId="0">
      <selection activeCell="D12" sqref="D12"/>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7" x14ac:dyDescent="0.4">
      <c r="A1" s="1" t="s">
        <v>302</v>
      </c>
      <c r="B1" s="2"/>
      <c r="C1" s="2"/>
      <c r="D1" s="2"/>
      <c r="E1" s="2"/>
      <c r="F1" s="2"/>
      <c r="G1" s="2"/>
      <c r="H1" s="2"/>
      <c r="I1" s="2"/>
      <c r="J1" s="2"/>
      <c r="K1" s="2"/>
      <c r="L1" s="2"/>
      <c r="M1" s="2"/>
      <c r="N1" s="2"/>
      <c r="O1" s="2"/>
      <c r="P1" s="2"/>
      <c r="Q1" s="3"/>
    </row>
    <row r="2" spans="1:17" x14ac:dyDescent="0.4">
      <c r="A2" s="5" t="s">
        <v>303</v>
      </c>
      <c r="B2" s="6"/>
      <c r="C2" s="6"/>
      <c r="D2" s="6"/>
      <c r="E2" s="6"/>
      <c r="F2" s="6"/>
      <c r="G2" s="6"/>
      <c r="H2" s="6"/>
      <c r="I2" s="6"/>
      <c r="J2" s="6"/>
      <c r="K2" s="6"/>
      <c r="L2" s="6"/>
      <c r="M2" s="6"/>
      <c r="N2" s="6"/>
      <c r="O2" s="6"/>
      <c r="P2" s="6"/>
      <c r="Q2" s="7"/>
    </row>
    <row r="3" spans="1:17" x14ac:dyDescent="0.4">
      <c r="A3" s="8" t="s">
        <v>373</v>
      </c>
      <c r="B3" s="9"/>
      <c r="C3" s="9"/>
      <c r="D3" s="9"/>
      <c r="E3" s="9"/>
      <c r="F3" s="9"/>
      <c r="G3" s="9"/>
      <c r="H3" s="9"/>
      <c r="I3" s="9"/>
      <c r="J3" s="9"/>
      <c r="K3" s="9"/>
      <c r="L3" s="9"/>
      <c r="M3" s="9"/>
      <c r="N3" s="9"/>
      <c r="O3" s="9"/>
      <c r="P3" s="9"/>
      <c r="Q3" s="10"/>
    </row>
    <row r="4" spans="1:17" s="12" customFormat="1" x14ac:dyDescent="0.4">
      <c r="A4" s="11"/>
      <c r="B4" s="11"/>
      <c r="C4" s="11"/>
      <c r="D4" s="11"/>
      <c r="E4" s="11"/>
      <c r="F4" s="11"/>
      <c r="G4" s="11"/>
      <c r="H4" s="11"/>
      <c r="I4" s="11"/>
      <c r="J4" s="11"/>
      <c r="K4" s="11"/>
      <c r="L4" s="11"/>
      <c r="M4" s="11"/>
      <c r="N4" s="11"/>
      <c r="O4" s="11"/>
      <c r="P4" s="11"/>
      <c r="Q4" s="11"/>
    </row>
    <row r="5" spans="1:17" ht="18" customHeight="1" x14ac:dyDescent="0.4">
      <c r="A5" s="13" t="s">
        <v>0</v>
      </c>
      <c r="B5" s="14"/>
      <c r="C5" s="14"/>
      <c r="D5" s="14"/>
      <c r="E5" s="14"/>
      <c r="F5" s="14"/>
      <c r="G5" s="14"/>
      <c r="H5" s="14"/>
      <c r="I5" s="14"/>
      <c r="J5" s="14"/>
      <c r="K5" s="14"/>
      <c r="L5" s="14"/>
      <c r="M5" s="14"/>
      <c r="N5" s="14"/>
      <c r="O5" s="14"/>
      <c r="P5" s="14"/>
      <c r="Q5" s="15"/>
    </row>
    <row r="6" spans="1:17" x14ac:dyDescent="0.4">
      <c r="A6" s="16" t="s">
        <v>372</v>
      </c>
      <c r="B6" s="17"/>
      <c r="C6" s="17"/>
      <c r="D6" s="17"/>
      <c r="E6" s="17"/>
      <c r="F6" s="17"/>
      <c r="G6" s="17"/>
      <c r="H6" s="17"/>
      <c r="I6" s="17"/>
      <c r="J6" s="17"/>
      <c r="K6" s="17"/>
      <c r="L6" s="17"/>
      <c r="M6" s="17"/>
      <c r="N6" s="17"/>
      <c r="O6" s="17"/>
      <c r="P6" s="17"/>
      <c r="Q6" s="18"/>
    </row>
    <row r="7" spans="1:17" x14ac:dyDescent="0.4">
      <c r="A7" s="16" t="s">
        <v>371</v>
      </c>
      <c r="B7" s="17"/>
      <c r="C7" s="17"/>
      <c r="D7" s="17"/>
      <c r="E7" s="17"/>
      <c r="F7" s="17"/>
      <c r="G7" s="17"/>
      <c r="H7" s="17"/>
      <c r="I7" s="17"/>
      <c r="J7" s="17"/>
      <c r="K7" s="17"/>
      <c r="L7" s="17"/>
      <c r="M7" s="17"/>
      <c r="N7" s="17"/>
      <c r="O7" s="17"/>
      <c r="P7" s="17"/>
      <c r="Q7" s="18"/>
    </row>
    <row r="8" spans="1:17" x14ac:dyDescent="0.4">
      <c r="A8" s="19" t="s">
        <v>370</v>
      </c>
      <c r="B8" s="20"/>
      <c r="C8" s="20"/>
      <c r="D8" s="20"/>
      <c r="E8" s="20"/>
      <c r="F8" s="20"/>
      <c r="G8" s="20"/>
      <c r="H8" s="20"/>
      <c r="I8" s="20"/>
      <c r="J8" s="20"/>
      <c r="K8" s="20"/>
      <c r="L8" s="20"/>
      <c r="M8" s="20"/>
      <c r="N8" s="20"/>
      <c r="O8" s="20"/>
      <c r="P8" s="20"/>
      <c r="Q8" s="21"/>
    </row>
    <row r="9" spans="1:17" s="120" customFormat="1" x14ac:dyDescent="0.4"/>
    <row r="10" spans="1:17" s="120" customFormat="1" x14ac:dyDescent="0.4">
      <c r="A10" s="120" t="s">
        <v>369</v>
      </c>
    </row>
    <row r="11" spans="1:17" s="120" customFormat="1" x14ac:dyDescent="0.4">
      <c r="A11" s="120" t="s">
        <v>368</v>
      </c>
    </row>
    <row r="12" spans="1:17" s="120" customFormat="1" x14ac:dyDescent="0.4">
      <c r="A12" s="120" t="s">
        <v>367</v>
      </c>
    </row>
    <row r="13" spans="1:17" s="120" customFormat="1" x14ac:dyDescent="0.4">
      <c r="A13" s="124"/>
      <c r="B13" s="124"/>
      <c r="C13" s="124"/>
      <c r="D13" s="124" t="s">
        <v>366</v>
      </c>
      <c r="E13" s="124"/>
      <c r="F13" s="124"/>
      <c r="G13" s="124"/>
      <c r="H13" s="124"/>
      <c r="I13" s="124"/>
      <c r="J13" s="124"/>
      <c r="K13" s="124"/>
      <c r="L13" s="124"/>
      <c r="M13" s="124"/>
    </row>
    <row r="14" spans="1:17" s="120" customFormat="1" x14ac:dyDescent="0.4">
      <c r="A14" s="124"/>
      <c r="B14" s="124" t="s">
        <v>191</v>
      </c>
      <c r="C14" s="124" t="s">
        <v>365</v>
      </c>
      <c r="D14" s="124" t="s">
        <v>364</v>
      </c>
      <c r="E14" s="124"/>
      <c r="F14" s="124"/>
      <c r="G14" s="124"/>
      <c r="H14" s="124"/>
      <c r="I14" s="124"/>
      <c r="J14" s="135" t="s">
        <v>363</v>
      </c>
      <c r="K14" s="134"/>
      <c r="L14" s="134"/>
      <c r="M14" s="133"/>
    </row>
    <row r="15" spans="1:17" s="120" customFormat="1" x14ac:dyDescent="0.4">
      <c r="A15" s="124" t="s">
        <v>362</v>
      </c>
      <c r="B15" s="124"/>
      <c r="C15" s="124"/>
      <c r="D15" s="124"/>
      <c r="E15" s="124">
        <v>4000</v>
      </c>
      <c r="F15" s="124"/>
      <c r="G15" s="124"/>
      <c r="H15" s="124"/>
      <c r="I15" s="124"/>
      <c r="J15" s="131"/>
      <c r="K15" s="126"/>
      <c r="L15" s="126"/>
      <c r="M15" s="130"/>
    </row>
    <row r="16" spans="1:17" s="120" customFormat="1" x14ac:dyDescent="0.4">
      <c r="A16" s="124" t="s">
        <v>361</v>
      </c>
      <c r="B16" s="124">
        <v>380</v>
      </c>
      <c r="C16" s="132">
        <v>2</v>
      </c>
      <c r="D16" s="124">
        <v>760</v>
      </c>
      <c r="E16" s="124"/>
      <c r="F16" s="124"/>
      <c r="G16" s="124" t="s">
        <v>360</v>
      </c>
      <c r="H16" s="124"/>
      <c r="I16" s="124"/>
      <c r="J16" s="131" t="s">
        <v>359</v>
      </c>
      <c r="K16" s="126"/>
      <c r="L16" s="126">
        <v>9600000</v>
      </c>
      <c r="M16" s="130" t="s">
        <v>358</v>
      </c>
    </row>
    <row r="17" spans="1:13" s="120" customFormat="1" x14ac:dyDescent="0.4">
      <c r="A17" s="124" t="s">
        <v>337</v>
      </c>
      <c r="B17" s="124">
        <v>1600</v>
      </c>
      <c r="C17" s="132">
        <v>0.5</v>
      </c>
      <c r="D17" s="124">
        <v>800</v>
      </c>
      <c r="E17" s="124"/>
      <c r="F17" s="124"/>
      <c r="G17" s="124">
        <f>200*0.5</f>
        <v>100</v>
      </c>
      <c r="H17" s="124"/>
      <c r="I17" s="124" t="s">
        <v>354</v>
      </c>
      <c r="J17" s="131" t="s">
        <v>357</v>
      </c>
      <c r="K17" s="126"/>
      <c r="L17" s="126">
        <v>12000</v>
      </c>
      <c r="M17" s="130" t="s">
        <v>356</v>
      </c>
    </row>
    <row r="18" spans="1:13" s="120" customFormat="1" x14ac:dyDescent="0.4">
      <c r="A18" s="124" t="s">
        <v>336</v>
      </c>
      <c r="B18" s="124">
        <f>+L19</f>
        <v>1000</v>
      </c>
      <c r="C18" s="132">
        <v>0.8</v>
      </c>
      <c r="D18" s="124">
        <f>+B18*0.8</f>
        <v>800</v>
      </c>
      <c r="E18" s="124"/>
      <c r="F18" s="124"/>
      <c r="G18" s="124"/>
      <c r="H18" s="124"/>
      <c r="I18" s="124"/>
      <c r="J18" s="131" t="s">
        <v>355</v>
      </c>
      <c r="K18" s="126"/>
      <c r="L18" s="126">
        <f>+L16/L17</f>
        <v>800</v>
      </c>
      <c r="M18" s="130"/>
    </row>
    <row r="19" spans="1:13" s="120" customFormat="1" x14ac:dyDescent="0.4">
      <c r="A19" s="124" t="s">
        <v>335</v>
      </c>
      <c r="B19" s="124"/>
      <c r="C19" s="124"/>
      <c r="D19" s="128"/>
      <c r="E19" s="128">
        <f>+SUM(D16:D19)</f>
        <v>2360</v>
      </c>
      <c r="F19" s="124"/>
      <c r="G19" s="128">
        <v>40</v>
      </c>
      <c r="H19" s="128">
        <f>+E19+SUM(G17:G19)</f>
        <v>2500</v>
      </c>
      <c r="I19" s="124" t="s">
        <v>354</v>
      </c>
      <c r="J19" s="129" t="s">
        <v>353</v>
      </c>
      <c r="K19" s="128"/>
      <c r="L19" s="128">
        <f>1800-L18</f>
        <v>1000</v>
      </c>
      <c r="M19" s="127"/>
    </row>
    <row r="20" spans="1:13" s="120" customFormat="1" x14ac:dyDescent="0.4">
      <c r="A20" s="124" t="s">
        <v>352</v>
      </c>
      <c r="B20" s="124"/>
      <c r="C20" s="124"/>
      <c r="D20" s="124"/>
      <c r="E20" s="126">
        <f>+E15-E19</f>
        <v>1640</v>
      </c>
      <c r="F20" s="125">
        <f>+E20/E15</f>
        <v>0.41</v>
      </c>
      <c r="G20" s="124"/>
      <c r="H20" s="124">
        <f>+E15-H19</f>
        <v>1500</v>
      </c>
      <c r="I20" s="124"/>
      <c r="J20" s="124"/>
      <c r="K20" s="124"/>
      <c r="L20" s="124"/>
      <c r="M20" s="124"/>
    </row>
    <row r="21" spans="1:13" s="120" customFormat="1" x14ac:dyDescent="0.4">
      <c r="A21" s="124"/>
      <c r="B21" s="124"/>
      <c r="C21" s="124"/>
      <c r="D21" s="124"/>
      <c r="E21" s="124"/>
      <c r="F21" s="124"/>
      <c r="G21" s="124"/>
      <c r="H21" s="124"/>
      <c r="I21" s="124"/>
      <c r="J21" s="124"/>
      <c r="K21" s="124"/>
      <c r="L21" s="124"/>
      <c r="M21" s="124"/>
    </row>
    <row r="22" spans="1:13" s="120" customFormat="1" x14ac:dyDescent="0.4">
      <c r="A22" s="124" t="s">
        <v>351</v>
      </c>
      <c r="B22" s="124">
        <v>800</v>
      </c>
      <c r="C22" s="124"/>
      <c r="D22" s="124">
        <f>+L16</f>
        <v>9600000</v>
      </c>
      <c r="E22" s="124"/>
      <c r="F22" s="124"/>
      <c r="G22" s="124"/>
      <c r="H22" s="124"/>
      <c r="I22" s="124"/>
      <c r="J22" s="124"/>
      <c r="K22" s="124"/>
      <c r="L22" s="124"/>
      <c r="M22" s="124"/>
    </row>
    <row r="23" spans="1:13" s="120" customFormat="1" x14ac:dyDescent="0.4">
      <c r="A23" s="124" t="s">
        <v>350</v>
      </c>
      <c r="B23" s="124"/>
      <c r="C23" s="124"/>
      <c r="D23" s="124">
        <v>3000000</v>
      </c>
      <c r="E23" s="124"/>
      <c r="F23" s="124"/>
      <c r="G23" s="124"/>
      <c r="H23" s="124"/>
      <c r="I23" s="124"/>
      <c r="J23" s="124"/>
      <c r="K23" s="124"/>
      <c r="L23" s="124"/>
      <c r="M23" s="124"/>
    </row>
    <row r="24" spans="1:13" s="120" customFormat="1" x14ac:dyDescent="0.4"/>
    <row r="25" spans="1:13" s="120" customFormat="1" x14ac:dyDescent="0.4">
      <c r="A25" s="120" t="s">
        <v>349</v>
      </c>
      <c r="B25" s="120" t="s">
        <v>344</v>
      </c>
    </row>
    <row r="26" spans="1:13" s="120" customFormat="1" x14ac:dyDescent="0.4">
      <c r="B26" s="120" t="s">
        <v>348</v>
      </c>
    </row>
    <row r="27" spans="1:13" s="120" customFormat="1" x14ac:dyDescent="0.4"/>
    <row r="28" spans="1:13" s="120" customFormat="1" x14ac:dyDescent="0.4">
      <c r="C28" s="122">
        <v>3000</v>
      </c>
      <c r="D28" s="120" t="s">
        <v>347</v>
      </c>
      <c r="E28" s="123">
        <f>+E19</f>
        <v>2360</v>
      </c>
      <c r="F28" s="120" t="s">
        <v>346</v>
      </c>
    </row>
    <row r="29" spans="1:13" s="120" customFormat="1" x14ac:dyDescent="0.4"/>
    <row r="30" spans="1:13" s="120" customFormat="1" x14ac:dyDescent="0.4">
      <c r="A30" s="120" t="s">
        <v>345</v>
      </c>
      <c r="B30" s="120" t="s">
        <v>344</v>
      </c>
    </row>
    <row r="31" spans="1:13" s="120" customFormat="1" x14ac:dyDescent="0.4">
      <c r="B31" s="120" t="s">
        <v>343</v>
      </c>
    </row>
    <row r="32" spans="1:13" s="120" customFormat="1" x14ac:dyDescent="0.4"/>
    <row r="33" spans="1:7" s="120" customFormat="1" x14ac:dyDescent="0.4">
      <c r="D33" s="120" t="s">
        <v>191</v>
      </c>
      <c r="E33" s="120" t="s">
        <v>342</v>
      </c>
    </row>
    <row r="34" spans="1:7" s="120" customFormat="1" x14ac:dyDescent="0.4">
      <c r="B34" s="120" t="s">
        <v>341</v>
      </c>
      <c r="D34" s="120">
        <v>3000</v>
      </c>
      <c r="E34" s="120">
        <v>3500</v>
      </c>
      <c r="F34" s="122">
        <f>+E34*D34</f>
        <v>10500000</v>
      </c>
    </row>
    <row r="35" spans="1:7" s="120" customFormat="1" x14ac:dyDescent="0.4"/>
    <row r="36" spans="1:7" s="120" customFormat="1" x14ac:dyDescent="0.4">
      <c r="B36" s="120" t="s">
        <v>340</v>
      </c>
    </row>
    <row r="37" spans="1:7" s="120" customFormat="1" x14ac:dyDescent="0.4">
      <c r="C37" s="120" t="s">
        <v>339</v>
      </c>
      <c r="D37" s="120">
        <v>200</v>
      </c>
      <c r="E37" s="120">
        <v>15000</v>
      </c>
      <c r="F37" s="120">
        <f>+D37*E37</f>
        <v>3000000</v>
      </c>
    </row>
    <row r="38" spans="1:7" s="120" customFormat="1" x14ac:dyDescent="0.4">
      <c r="C38" s="120" t="s">
        <v>338</v>
      </c>
      <c r="D38" s="120">
        <f>+D16</f>
        <v>760</v>
      </c>
      <c r="E38" s="120">
        <f>+E34</f>
        <v>3500</v>
      </c>
      <c r="F38" s="120">
        <f>+D38*E38</f>
        <v>2660000</v>
      </c>
    </row>
    <row r="39" spans="1:7" s="120" customFormat="1" x14ac:dyDescent="0.4">
      <c r="C39" s="120" t="s">
        <v>337</v>
      </c>
      <c r="D39" s="120">
        <f>+D17+G17</f>
        <v>900</v>
      </c>
      <c r="E39" s="120">
        <f>+E38</f>
        <v>3500</v>
      </c>
      <c r="F39" s="120">
        <f>+D39*E39</f>
        <v>3150000</v>
      </c>
    </row>
    <row r="40" spans="1:7" s="120" customFormat="1" x14ac:dyDescent="0.4">
      <c r="C40" s="120" t="s">
        <v>336</v>
      </c>
      <c r="D40" s="120">
        <f>+D18</f>
        <v>800</v>
      </c>
      <c r="E40" s="120">
        <f>+E39</f>
        <v>3500</v>
      </c>
      <c r="F40" s="120">
        <f>+D40*E40</f>
        <v>2800000</v>
      </c>
    </row>
    <row r="41" spans="1:7" s="120" customFormat="1" x14ac:dyDescent="0.4">
      <c r="C41" s="120" t="s">
        <v>335</v>
      </c>
      <c r="D41" s="120">
        <f>+G19</f>
        <v>40</v>
      </c>
      <c r="E41" s="120">
        <f>+E40</f>
        <v>3500</v>
      </c>
      <c r="F41" s="120">
        <f>+D41*E41</f>
        <v>140000</v>
      </c>
    </row>
    <row r="42" spans="1:7" s="120" customFormat="1" x14ac:dyDescent="0.4">
      <c r="F42" s="122">
        <f>SUM(F37:F41)</f>
        <v>11750000</v>
      </c>
    </row>
    <row r="43" spans="1:7" s="120" customFormat="1" x14ac:dyDescent="0.4"/>
    <row r="44" spans="1:7" s="120" customFormat="1" x14ac:dyDescent="0.4">
      <c r="F44" s="123">
        <f>+F34-F42</f>
        <v>-1250000</v>
      </c>
      <c r="G44" s="120" t="s">
        <v>334</v>
      </c>
    </row>
    <row r="45" spans="1:7" s="120" customFormat="1" x14ac:dyDescent="0.4"/>
    <row r="46" spans="1:7" s="120" customFormat="1" x14ac:dyDescent="0.4">
      <c r="A46" s="120" t="s">
        <v>333</v>
      </c>
      <c r="B46" s="120" t="s">
        <v>332</v>
      </c>
    </row>
    <row r="47" spans="1:7" s="120" customFormat="1" x14ac:dyDescent="0.4">
      <c r="B47" s="120" t="s">
        <v>331</v>
      </c>
    </row>
    <row r="48" spans="1:7" s="120" customFormat="1" x14ac:dyDescent="0.4">
      <c r="B48" s="120" t="s">
        <v>330</v>
      </c>
    </row>
    <row r="49" spans="4:7" s="120" customFormat="1" x14ac:dyDescent="0.4"/>
    <row r="50" spans="4:7" s="120" customFormat="1" x14ac:dyDescent="0.4">
      <c r="D50" s="120" t="s">
        <v>329</v>
      </c>
      <c r="F50" s="122">
        <f>+F34-SUM(F38:F41)</f>
        <v>1750000</v>
      </c>
      <c r="G50" s="120" t="s">
        <v>328</v>
      </c>
    </row>
    <row r="51" spans="4:7" s="120" customFormat="1" x14ac:dyDescent="0.4">
      <c r="F51" s="120">
        <f>+F50/E37</f>
        <v>116.66666666666667</v>
      </c>
      <c r="G51" s="120" t="s">
        <v>327</v>
      </c>
    </row>
    <row r="52" spans="4:7" s="120" customFormat="1" x14ac:dyDescent="0.4">
      <c r="F52" s="121">
        <f>4000-F51</f>
        <v>3883.3333333333335</v>
      </c>
      <c r="G52" s="120" t="s">
        <v>326</v>
      </c>
    </row>
    <row r="53" spans="4:7" s="120" customFormat="1" x14ac:dyDescent="0.4"/>
  </sheetData>
  <phoneticPr fontId="3"/>
  <pageMargins left="0.25" right="0.25" top="0.75" bottom="0.75" header="0.3" footer="0.3"/>
  <pageSetup paperSize="9" scale="7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1"/>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7" x14ac:dyDescent="0.4">
      <c r="A1" s="1" t="s">
        <v>302</v>
      </c>
      <c r="B1" s="2"/>
      <c r="C1" s="2"/>
      <c r="D1" s="2"/>
      <c r="E1" s="2"/>
      <c r="F1" s="2"/>
      <c r="G1" s="2"/>
      <c r="H1" s="2"/>
      <c r="I1" s="2"/>
      <c r="J1" s="2"/>
      <c r="K1" s="2"/>
      <c r="L1" s="2"/>
      <c r="M1" s="2"/>
      <c r="N1" s="2"/>
      <c r="O1" s="2"/>
      <c r="P1" s="2"/>
      <c r="Q1" s="3"/>
    </row>
    <row r="2" spans="1:17" x14ac:dyDescent="0.4">
      <c r="A2" s="5" t="s">
        <v>303</v>
      </c>
      <c r="B2" s="6"/>
      <c r="C2" s="6"/>
      <c r="D2" s="6"/>
      <c r="E2" s="6"/>
      <c r="F2" s="6"/>
      <c r="G2" s="6"/>
      <c r="H2" s="6"/>
      <c r="I2" s="6"/>
      <c r="J2" s="6"/>
      <c r="K2" s="6"/>
      <c r="L2" s="6"/>
      <c r="M2" s="6"/>
      <c r="N2" s="6"/>
      <c r="O2" s="6"/>
      <c r="P2" s="6"/>
      <c r="Q2" s="7"/>
    </row>
    <row r="3" spans="1:17" x14ac:dyDescent="0.4">
      <c r="A3" s="8" t="s">
        <v>409</v>
      </c>
      <c r="B3" s="9"/>
      <c r="C3" s="9"/>
      <c r="D3" s="9"/>
      <c r="E3" s="9"/>
      <c r="F3" s="9"/>
      <c r="G3" s="9"/>
      <c r="H3" s="9"/>
      <c r="I3" s="9"/>
      <c r="J3" s="9"/>
      <c r="K3" s="9"/>
      <c r="L3" s="9"/>
      <c r="M3" s="9"/>
      <c r="N3" s="9"/>
      <c r="O3" s="9"/>
      <c r="P3" s="9"/>
      <c r="Q3" s="10"/>
    </row>
    <row r="4" spans="1:17" s="12" customFormat="1" x14ac:dyDescent="0.4">
      <c r="A4" s="11"/>
      <c r="B4" s="11"/>
      <c r="C4" s="11"/>
      <c r="D4" s="11"/>
      <c r="E4" s="11"/>
      <c r="F4" s="11"/>
      <c r="G4" s="11"/>
      <c r="H4" s="11"/>
      <c r="I4" s="11"/>
      <c r="J4" s="11"/>
      <c r="K4" s="11"/>
      <c r="L4" s="11"/>
      <c r="M4" s="11"/>
      <c r="N4" s="11"/>
      <c r="O4" s="11"/>
      <c r="P4" s="11"/>
      <c r="Q4" s="11"/>
    </row>
    <row r="5" spans="1:17" ht="18" customHeight="1" x14ac:dyDescent="0.4">
      <c r="A5" s="13" t="s">
        <v>0</v>
      </c>
      <c r="B5" s="14"/>
      <c r="C5" s="14"/>
      <c r="D5" s="14"/>
      <c r="E5" s="14"/>
      <c r="F5" s="14"/>
      <c r="G5" s="14"/>
      <c r="H5" s="14"/>
      <c r="I5" s="14"/>
      <c r="J5" s="14"/>
      <c r="K5" s="14"/>
      <c r="L5" s="14"/>
      <c r="M5" s="14"/>
      <c r="N5" s="14"/>
      <c r="O5" s="14"/>
      <c r="P5" s="14"/>
      <c r="Q5" s="15"/>
    </row>
    <row r="6" spans="1:17" x14ac:dyDescent="0.4">
      <c r="A6" s="16" t="s">
        <v>408</v>
      </c>
      <c r="B6" s="17"/>
      <c r="C6" s="17"/>
      <c r="D6" s="17"/>
      <c r="E6" s="17"/>
      <c r="F6" s="17"/>
      <c r="G6" s="17"/>
      <c r="H6" s="17"/>
      <c r="I6" s="17"/>
      <c r="J6" s="17"/>
      <c r="K6" s="17"/>
      <c r="L6" s="17"/>
      <c r="M6" s="17"/>
      <c r="N6" s="17"/>
      <c r="O6" s="17"/>
      <c r="P6" s="17"/>
      <c r="Q6" s="18"/>
    </row>
    <row r="7" spans="1:17" x14ac:dyDescent="0.4">
      <c r="A7" s="19" t="s">
        <v>407</v>
      </c>
      <c r="B7" s="20"/>
      <c r="C7" s="20"/>
      <c r="D7" s="20"/>
      <c r="E7" s="20"/>
      <c r="F7" s="20"/>
      <c r="G7" s="20"/>
      <c r="H7" s="20"/>
      <c r="I7" s="20"/>
      <c r="J7" s="20"/>
      <c r="K7" s="20"/>
      <c r="L7" s="20"/>
      <c r="M7" s="20"/>
      <c r="N7" s="20"/>
      <c r="O7" s="20"/>
      <c r="P7" s="20"/>
      <c r="Q7" s="21"/>
    </row>
    <row r="8" spans="1:17" s="120" customFormat="1" x14ac:dyDescent="0.4"/>
    <row r="9" spans="1:17" s="120" customFormat="1" x14ac:dyDescent="0.4">
      <c r="A9" s="120" t="s">
        <v>406</v>
      </c>
    </row>
    <row r="11" spans="1:17" s="120" customFormat="1" x14ac:dyDescent="0.4">
      <c r="H11" s="120" t="s">
        <v>345</v>
      </c>
    </row>
    <row r="12" spans="1:17" s="120" customFormat="1" x14ac:dyDescent="0.4">
      <c r="B12" s="120" t="s">
        <v>342</v>
      </c>
      <c r="C12" s="120">
        <v>12000</v>
      </c>
      <c r="H12" s="120" t="s">
        <v>405</v>
      </c>
      <c r="L12" s="120" t="s">
        <v>404</v>
      </c>
    </row>
    <row r="13" spans="1:17" s="120" customFormat="1" x14ac:dyDescent="0.4">
      <c r="H13" s="120">
        <v>10500</v>
      </c>
      <c r="I13" s="120" t="s">
        <v>194</v>
      </c>
      <c r="L13" s="120">
        <v>13500</v>
      </c>
      <c r="M13" s="120" t="s">
        <v>194</v>
      </c>
    </row>
    <row r="14" spans="1:17" s="120" customFormat="1" x14ac:dyDescent="0.4">
      <c r="B14" s="120" t="s">
        <v>191</v>
      </c>
      <c r="C14" s="120" t="s">
        <v>403</v>
      </c>
      <c r="D14" s="120" t="s">
        <v>402</v>
      </c>
      <c r="J14" s="120" t="s">
        <v>401</v>
      </c>
    </row>
    <row r="15" spans="1:17" s="120" customFormat="1" x14ac:dyDescent="0.4">
      <c r="A15" s="120" t="s">
        <v>400</v>
      </c>
      <c r="D15" s="120">
        <v>10000</v>
      </c>
      <c r="F15" s="120">
        <f>+C12*D15</f>
        <v>120000000</v>
      </c>
      <c r="H15" s="120">
        <f>+H13*D15</f>
        <v>105000000</v>
      </c>
      <c r="J15" s="120" t="s">
        <v>400</v>
      </c>
      <c r="L15" s="120">
        <f>+D15*L13</f>
        <v>135000000</v>
      </c>
    </row>
    <row r="16" spans="1:17" s="120" customFormat="1" x14ac:dyDescent="0.4">
      <c r="J16" s="120" t="s">
        <v>399</v>
      </c>
      <c r="L16" s="120">
        <f>-D15*(L13-H13)*0.15</f>
        <v>-4500000</v>
      </c>
    </row>
    <row r="17" spans="1:13" s="120" customFormat="1" x14ac:dyDescent="0.4">
      <c r="A17" s="120" t="s">
        <v>361</v>
      </c>
      <c r="B17" s="120">
        <v>1000</v>
      </c>
      <c r="C17" s="120">
        <v>4</v>
      </c>
      <c r="D17" s="120">
        <f>+B17*C17</f>
        <v>4000</v>
      </c>
      <c r="E17" s="120">
        <f>+D17*$C$12</f>
        <v>48000000</v>
      </c>
      <c r="J17" s="120">
        <f>+D17*$L$13</f>
        <v>54000000</v>
      </c>
      <c r="K17" s="122">
        <f>+K35</f>
        <v>-420000</v>
      </c>
      <c r="M17" s="120" t="s">
        <v>398</v>
      </c>
    </row>
    <row r="18" spans="1:13" s="120" customFormat="1" x14ac:dyDescent="0.4">
      <c r="A18" s="120" t="s">
        <v>337</v>
      </c>
      <c r="B18" s="120">
        <v>800</v>
      </c>
      <c r="C18" s="120">
        <v>2</v>
      </c>
      <c r="D18" s="120">
        <f>+B18*C18</f>
        <v>1600</v>
      </c>
      <c r="E18" s="120">
        <f>+D18*$C$12</f>
        <v>19200000</v>
      </c>
      <c r="J18" s="120">
        <f>+D18*$L$13</f>
        <v>21600000</v>
      </c>
      <c r="K18" s="122">
        <f>+I41</f>
        <v>400000</v>
      </c>
      <c r="M18" s="120" t="s">
        <v>397</v>
      </c>
    </row>
    <row r="19" spans="1:13" s="120" customFormat="1" x14ac:dyDescent="0.4">
      <c r="A19" s="120" t="s">
        <v>336</v>
      </c>
      <c r="B19" s="120">
        <v>600</v>
      </c>
      <c r="C19" s="120">
        <v>3</v>
      </c>
      <c r="D19" s="120">
        <f>+B19*C19</f>
        <v>1800</v>
      </c>
      <c r="E19" s="138">
        <f>+D19*$C$12</f>
        <v>21600000</v>
      </c>
      <c r="F19" s="138">
        <f>SUM(E17:E19)</f>
        <v>88800000</v>
      </c>
      <c r="H19" s="138">
        <f>+SUM(D17:D19)*H13</f>
        <v>77700000</v>
      </c>
      <c r="J19" s="120">
        <f>+D19*$L$13</f>
        <v>24300000</v>
      </c>
      <c r="L19" s="138">
        <f>+SUM(J17:K19)</f>
        <v>99880000</v>
      </c>
    </row>
    <row r="20" spans="1:13" s="120" customFormat="1" x14ac:dyDescent="0.4">
      <c r="A20" s="120" t="s">
        <v>396</v>
      </c>
      <c r="F20" s="120">
        <f>+F15-F19</f>
        <v>31200000</v>
      </c>
      <c r="H20" s="120">
        <f>+H15-H19</f>
        <v>27300000</v>
      </c>
      <c r="L20" s="120">
        <f>+L15+L16-L19</f>
        <v>30620000</v>
      </c>
    </row>
    <row r="21" spans="1:13" s="120" customFormat="1" x14ac:dyDescent="0.4">
      <c r="A21" s="120" t="s">
        <v>335</v>
      </c>
      <c r="D21" s="120">
        <v>500</v>
      </c>
      <c r="E21" s="138">
        <f>+D21*$C$12</f>
        <v>6000000</v>
      </c>
      <c r="F21" s="138"/>
      <c r="H21" s="138">
        <f>+D21*H13</f>
        <v>5250000</v>
      </c>
      <c r="J21" s="120">
        <f>+D21*L13</f>
        <v>6750000</v>
      </c>
      <c r="L21" s="138"/>
    </row>
    <row r="22" spans="1:13" s="120" customFormat="1" x14ac:dyDescent="0.4">
      <c r="A22" s="120" t="s">
        <v>395</v>
      </c>
      <c r="F22" s="120">
        <f>+F20-E21</f>
        <v>25200000</v>
      </c>
      <c r="H22" s="120">
        <f>+H20-H21</f>
        <v>22050000</v>
      </c>
      <c r="L22" s="139">
        <f>+L20-J21</f>
        <v>23870000</v>
      </c>
    </row>
    <row r="23" spans="1:13" s="120" customFormat="1" x14ac:dyDescent="0.4">
      <c r="A23" s="120" t="s">
        <v>351</v>
      </c>
      <c r="E23" s="120">
        <v>10800000</v>
      </c>
      <c r="J23" s="120">
        <f>+E23</f>
        <v>10800000</v>
      </c>
    </row>
    <row r="24" spans="1:13" s="120" customFormat="1" x14ac:dyDescent="0.4">
      <c r="A24" s="120" t="s">
        <v>350</v>
      </c>
      <c r="E24" s="120">
        <v>8500000</v>
      </c>
      <c r="F24" s="138">
        <f>+SUM(E23:E24)</f>
        <v>19300000</v>
      </c>
      <c r="H24" s="138">
        <f>+F24</f>
        <v>19300000</v>
      </c>
      <c r="J24" s="120">
        <f>+E24</f>
        <v>8500000</v>
      </c>
      <c r="K24" s="122">
        <v>1000000</v>
      </c>
      <c r="L24" s="138">
        <f>+SUM(J23:K24)</f>
        <v>20300000</v>
      </c>
      <c r="M24" s="120" t="s">
        <v>394</v>
      </c>
    </row>
    <row r="25" spans="1:13" s="120" customFormat="1" ht="16.8" thickBot="1" x14ac:dyDescent="0.45">
      <c r="A25" s="120" t="s">
        <v>393</v>
      </c>
      <c r="F25" s="137">
        <f>+F22-F24</f>
        <v>5900000</v>
      </c>
      <c r="H25" s="137">
        <f>+H22-H24</f>
        <v>2750000</v>
      </c>
      <c r="L25" s="137">
        <f>+L22-L24</f>
        <v>3570000</v>
      </c>
    </row>
    <row r="26" spans="1:13" s="120" customFormat="1" ht="16.8" thickTop="1" x14ac:dyDescent="0.4">
      <c r="H26" s="120" t="s">
        <v>392</v>
      </c>
      <c r="L26" s="120" t="s">
        <v>391</v>
      </c>
    </row>
    <row r="27" spans="1:13" s="120" customFormat="1" x14ac:dyDescent="0.4">
      <c r="L27" s="123">
        <f>+L25-H25</f>
        <v>820000</v>
      </c>
      <c r="M27" s="120" t="s">
        <v>390</v>
      </c>
    </row>
    <row r="28" spans="1:13" s="120" customFormat="1" x14ac:dyDescent="0.4"/>
    <row r="29" spans="1:13" s="120" customFormat="1" x14ac:dyDescent="0.4"/>
    <row r="30" spans="1:13" s="120" customFormat="1" x14ac:dyDescent="0.4">
      <c r="H30" s="120" t="s">
        <v>389</v>
      </c>
    </row>
    <row r="31" spans="1:13" s="120" customFormat="1" x14ac:dyDescent="0.4"/>
    <row r="32" spans="1:13" s="120" customFormat="1" x14ac:dyDescent="0.4">
      <c r="H32" s="120" t="s">
        <v>388</v>
      </c>
      <c r="I32" s="120" t="s">
        <v>387</v>
      </c>
      <c r="J32" s="120" t="s">
        <v>386</v>
      </c>
      <c r="K32" s="120" t="s">
        <v>385</v>
      </c>
    </row>
    <row r="33" spans="8:12" s="120" customFormat="1" x14ac:dyDescent="0.4">
      <c r="H33" s="120" t="s">
        <v>384</v>
      </c>
      <c r="K33" s="120">
        <f>+SUM(I33:J33)</f>
        <v>0</v>
      </c>
    </row>
    <row r="34" spans="8:12" s="120" customFormat="1" x14ac:dyDescent="0.4">
      <c r="H34" s="120" t="s">
        <v>383</v>
      </c>
      <c r="I34" s="120">
        <f>-J17*0.05</f>
        <v>-2700000</v>
      </c>
      <c r="J34" s="120">
        <f>250000*12</f>
        <v>3000000</v>
      </c>
      <c r="K34" s="120">
        <f>+SUM(I34:J34)</f>
        <v>300000</v>
      </c>
    </row>
    <row r="35" spans="8:12" s="120" customFormat="1" x14ac:dyDescent="0.4">
      <c r="H35" s="120" t="s">
        <v>382</v>
      </c>
      <c r="I35" s="120">
        <f>-J17*0.08</f>
        <v>-4320000</v>
      </c>
      <c r="J35" s="120">
        <f>325000*12</f>
        <v>3900000</v>
      </c>
      <c r="K35" s="122">
        <f>+SUM(I35:J35)</f>
        <v>-420000</v>
      </c>
      <c r="L35" s="120" t="s">
        <v>381</v>
      </c>
    </row>
    <row r="36" spans="8:12" s="120" customFormat="1" x14ac:dyDescent="0.4"/>
    <row r="37" spans="8:12" x14ac:dyDescent="0.4">
      <c r="H37" s="4" t="s">
        <v>380</v>
      </c>
    </row>
    <row r="39" spans="8:12" x14ac:dyDescent="0.4">
      <c r="H39" s="4" t="s">
        <v>379</v>
      </c>
      <c r="I39" s="4">
        <v>200</v>
      </c>
      <c r="J39" s="4" t="s">
        <v>378</v>
      </c>
    </row>
    <row r="40" spans="8:12" x14ac:dyDescent="0.4">
      <c r="H40" s="4" t="s">
        <v>377</v>
      </c>
      <c r="I40" s="4">
        <f>+L13*C18-25000</f>
        <v>2000</v>
      </c>
      <c r="J40" s="4" t="s">
        <v>376</v>
      </c>
    </row>
    <row r="41" spans="8:12" x14ac:dyDescent="0.4">
      <c r="H41" s="4" t="s">
        <v>375</v>
      </c>
      <c r="I41" s="136">
        <f>+I39*I40</f>
        <v>400000</v>
      </c>
      <c r="J41" s="4" t="s">
        <v>374</v>
      </c>
    </row>
  </sheetData>
  <phoneticPr fontId="3"/>
  <pageMargins left="0.25" right="0.25" top="0.75" bottom="0.75" header="0.3" footer="0.3"/>
  <pageSetup paperSize="9" scale="7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7"/>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7" x14ac:dyDescent="0.4">
      <c r="A1" s="1" t="s">
        <v>302</v>
      </c>
      <c r="B1" s="2"/>
      <c r="C1" s="2"/>
      <c r="D1" s="2"/>
      <c r="E1" s="2"/>
      <c r="F1" s="2"/>
      <c r="G1" s="2"/>
      <c r="H1" s="2"/>
      <c r="I1" s="2"/>
      <c r="J1" s="2"/>
      <c r="K1" s="2"/>
      <c r="L1" s="2"/>
      <c r="M1" s="2"/>
      <c r="N1" s="2"/>
      <c r="O1" s="2"/>
      <c r="P1" s="2"/>
      <c r="Q1" s="3"/>
    </row>
    <row r="2" spans="1:17" x14ac:dyDescent="0.4">
      <c r="A2" s="5" t="s">
        <v>442</v>
      </c>
      <c r="B2" s="6"/>
      <c r="C2" s="6"/>
      <c r="D2" s="6"/>
      <c r="E2" s="6"/>
      <c r="F2" s="6"/>
      <c r="G2" s="6"/>
      <c r="H2" s="6"/>
      <c r="I2" s="6"/>
      <c r="J2" s="6"/>
      <c r="K2" s="6"/>
      <c r="L2" s="6"/>
      <c r="M2" s="6"/>
      <c r="N2" s="6"/>
      <c r="O2" s="6"/>
      <c r="P2" s="6"/>
      <c r="Q2" s="7"/>
    </row>
    <row r="3" spans="1:17" x14ac:dyDescent="0.4">
      <c r="A3" s="8" t="s">
        <v>441</v>
      </c>
      <c r="B3" s="9"/>
      <c r="C3" s="9"/>
      <c r="D3" s="9"/>
      <c r="E3" s="9"/>
      <c r="F3" s="9"/>
      <c r="G3" s="9"/>
      <c r="H3" s="9"/>
      <c r="I3" s="9"/>
      <c r="J3" s="9"/>
      <c r="K3" s="9"/>
      <c r="L3" s="9"/>
      <c r="M3" s="9"/>
      <c r="N3" s="9"/>
      <c r="O3" s="9"/>
      <c r="P3" s="9"/>
      <c r="Q3" s="10"/>
    </row>
    <row r="4" spans="1:17" s="12" customFormat="1" x14ac:dyDescent="0.4">
      <c r="A4" s="11"/>
      <c r="B4" s="11"/>
      <c r="C4" s="11"/>
      <c r="D4" s="11"/>
      <c r="E4" s="11"/>
      <c r="F4" s="11"/>
      <c r="G4" s="11"/>
      <c r="H4" s="11"/>
      <c r="I4" s="11"/>
      <c r="J4" s="11"/>
      <c r="K4" s="11"/>
      <c r="L4" s="11"/>
      <c r="M4" s="11"/>
      <c r="N4" s="11"/>
      <c r="O4" s="11"/>
      <c r="P4" s="11"/>
      <c r="Q4" s="11"/>
    </row>
    <row r="5" spans="1:17" ht="18" customHeight="1" x14ac:dyDescent="0.4">
      <c r="A5" s="13" t="s">
        <v>0</v>
      </c>
      <c r="B5" s="14"/>
      <c r="C5" s="14"/>
      <c r="D5" s="14"/>
      <c r="E5" s="14"/>
      <c r="F5" s="14"/>
      <c r="G5" s="14"/>
      <c r="H5" s="14"/>
      <c r="I5" s="14"/>
      <c r="J5" s="14"/>
      <c r="K5" s="14"/>
      <c r="L5" s="14"/>
      <c r="M5" s="14"/>
      <c r="N5" s="14"/>
      <c r="O5" s="14"/>
      <c r="P5" s="14"/>
      <c r="Q5" s="15"/>
    </row>
    <row r="6" spans="1:17" x14ac:dyDescent="0.4">
      <c r="A6" s="16" t="s">
        <v>440</v>
      </c>
      <c r="B6" s="17"/>
      <c r="C6" s="17"/>
      <c r="D6" s="17"/>
      <c r="E6" s="17"/>
      <c r="F6" s="17"/>
      <c r="G6" s="17"/>
      <c r="H6" s="17"/>
      <c r="I6" s="17"/>
      <c r="J6" s="17"/>
      <c r="K6" s="17"/>
      <c r="L6" s="17"/>
      <c r="M6" s="17"/>
      <c r="N6" s="17"/>
      <c r="O6" s="17"/>
      <c r="P6" s="17"/>
      <c r="Q6" s="18"/>
    </row>
    <row r="7" spans="1:17" x14ac:dyDescent="0.4">
      <c r="A7" s="19" t="s">
        <v>439</v>
      </c>
      <c r="B7" s="20"/>
      <c r="C7" s="20"/>
      <c r="D7" s="20"/>
      <c r="E7" s="20"/>
      <c r="F7" s="20"/>
      <c r="G7" s="20"/>
      <c r="H7" s="20"/>
      <c r="I7" s="20"/>
      <c r="J7" s="20"/>
      <c r="K7" s="20"/>
      <c r="L7" s="20"/>
      <c r="M7" s="20"/>
      <c r="N7" s="20"/>
      <c r="O7" s="20"/>
      <c r="P7" s="20"/>
      <c r="Q7" s="21"/>
    </row>
    <row r="8" spans="1:17" s="120" customFormat="1" x14ac:dyDescent="0.4"/>
    <row r="10" spans="1:17" s="120" customFormat="1" x14ac:dyDescent="0.4">
      <c r="A10" s="120" t="s">
        <v>438</v>
      </c>
      <c r="B10" s="120" t="s">
        <v>437</v>
      </c>
    </row>
    <row r="11" spans="1:17" s="120" customFormat="1" x14ac:dyDescent="0.4"/>
    <row r="12" spans="1:17" s="120" customFormat="1" x14ac:dyDescent="0.4">
      <c r="B12" s="120" t="s">
        <v>436</v>
      </c>
    </row>
    <row r="13" spans="1:17" s="120" customFormat="1" x14ac:dyDescent="0.4">
      <c r="B13" s="120" t="s">
        <v>435</v>
      </c>
      <c r="C13" s="120">
        <v>1240</v>
      </c>
      <c r="D13" s="120">
        <v>1260000</v>
      </c>
    </row>
    <row r="14" spans="1:17" s="120" customFormat="1" x14ac:dyDescent="0.4">
      <c r="B14" s="120" t="s">
        <v>434</v>
      </c>
      <c r="C14" s="120">
        <v>1540</v>
      </c>
      <c r="D14" s="120">
        <v>1482000</v>
      </c>
    </row>
    <row r="15" spans="1:17" s="120" customFormat="1" x14ac:dyDescent="0.4">
      <c r="C15" s="120">
        <f>+C14-C13</f>
        <v>300</v>
      </c>
      <c r="D15" s="120">
        <f>+D14-D13</f>
        <v>222000</v>
      </c>
    </row>
    <row r="16" spans="1:17" s="120" customFormat="1" x14ac:dyDescent="0.4">
      <c r="C16" s="120" t="s">
        <v>433</v>
      </c>
      <c r="D16" s="123">
        <f>+D15/C15</f>
        <v>740</v>
      </c>
      <c r="E16" s="120" t="s">
        <v>432</v>
      </c>
      <c r="F16" s="123">
        <f>+D13-D16*C13</f>
        <v>342400</v>
      </c>
    </row>
    <row r="17" spans="1:6" s="120" customFormat="1" x14ac:dyDescent="0.4"/>
    <row r="18" spans="1:6" s="120" customFormat="1" x14ac:dyDescent="0.4">
      <c r="A18" s="120" t="s">
        <v>431</v>
      </c>
    </row>
    <row r="19" spans="1:6" s="120" customFormat="1" x14ac:dyDescent="0.4">
      <c r="B19" s="120" t="s">
        <v>710</v>
      </c>
    </row>
    <row r="20" spans="1:6" s="120" customFormat="1" x14ac:dyDescent="0.4"/>
    <row r="21" spans="1:6" s="120" customFormat="1" x14ac:dyDescent="0.4">
      <c r="B21" s="120" t="s">
        <v>430</v>
      </c>
      <c r="C21" s="120">
        <f>+F16*6</f>
        <v>2054400</v>
      </c>
    </row>
    <row r="22" spans="1:6" s="120" customFormat="1" x14ac:dyDescent="0.4">
      <c r="B22" s="120" t="s">
        <v>429</v>
      </c>
      <c r="C22" s="120">
        <v>481000</v>
      </c>
    </row>
    <row r="23" spans="1:6" s="120" customFormat="1" x14ac:dyDescent="0.4">
      <c r="B23" s="120" t="s">
        <v>428</v>
      </c>
      <c r="C23" s="120">
        <v>453400</v>
      </c>
    </row>
    <row r="24" spans="1:6" s="120" customFormat="1" x14ac:dyDescent="0.4">
      <c r="B24" s="120" t="s">
        <v>427</v>
      </c>
      <c r="C24" s="120">
        <v>460000</v>
      </c>
    </row>
    <row r="25" spans="1:6" s="120" customFormat="1" ht="16.8" thickBot="1" x14ac:dyDescent="0.45">
      <c r="C25" s="140">
        <f>+C21-SUM(C22:C24)</f>
        <v>660000</v>
      </c>
    </row>
    <row r="26" spans="1:6" s="120" customFormat="1" ht="16.8" thickTop="1" x14ac:dyDescent="0.4">
      <c r="E26" s="120">
        <v>8000</v>
      </c>
      <c r="F26" s="120" t="s">
        <v>426</v>
      </c>
    </row>
    <row r="27" spans="1:6" s="120" customFormat="1" x14ac:dyDescent="0.4">
      <c r="A27" s="120" t="s">
        <v>425</v>
      </c>
    </row>
    <row r="28" spans="1:6" s="120" customFormat="1" x14ac:dyDescent="0.4">
      <c r="B28" s="120" t="s">
        <v>424</v>
      </c>
    </row>
    <row r="29" spans="1:6" s="120" customFormat="1" x14ac:dyDescent="0.4">
      <c r="C29" s="120" t="s">
        <v>423</v>
      </c>
      <c r="E29" s="120" t="s">
        <v>422</v>
      </c>
    </row>
    <row r="30" spans="1:6" s="120" customFormat="1" x14ac:dyDescent="0.4">
      <c r="B30" s="120" t="s">
        <v>421</v>
      </c>
      <c r="E30" s="120">
        <v>2300</v>
      </c>
    </row>
    <row r="31" spans="1:6" s="120" customFormat="1" x14ac:dyDescent="0.4"/>
    <row r="32" spans="1:6" s="120" customFormat="1" x14ac:dyDescent="0.4">
      <c r="B32" s="120" t="s">
        <v>361</v>
      </c>
      <c r="C32" s="120">
        <v>600</v>
      </c>
    </row>
    <row r="33" spans="1:6" s="120" customFormat="1" x14ac:dyDescent="0.4">
      <c r="B33" s="120" t="s">
        <v>337</v>
      </c>
      <c r="C33" s="120">
        <v>800</v>
      </c>
    </row>
    <row r="34" spans="1:6" s="120" customFormat="1" x14ac:dyDescent="0.4">
      <c r="B34" s="120" t="s">
        <v>336</v>
      </c>
      <c r="C34" s="120">
        <v>740</v>
      </c>
      <c r="D34" s="120">
        <f>+SUM(C32:C34)</f>
        <v>2140</v>
      </c>
    </row>
    <row r="35" spans="1:6" s="120" customFormat="1" x14ac:dyDescent="0.4"/>
    <row r="36" spans="1:6" s="120" customFormat="1" x14ac:dyDescent="0.4">
      <c r="B36" s="120" t="s">
        <v>351</v>
      </c>
      <c r="C36" s="120">
        <f>+C21</f>
        <v>2054400</v>
      </c>
    </row>
    <row r="37" spans="1:6" s="120" customFormat="1" x14ac:dyDescent="0.4">
      <c r="B37" s="120" t="s">
        <v>420</v>
      </c>
      <c r="C37" s="120">
        <f>-SUM(C22:C23)</f>
        <v>-934400</v>
      </c>
    </row>
    <row r="38" spans="1:6" s="120" customFormat="1" x14ac:dyDescent="0.4">
      <c r="B38" s="120" t="s">
        <v>419</v>
      </c>
      <c r="C38" s="122">
        <f>+C36+C37</f>
        <v>1120000</v>
      </c>
      <c r="D38" s="120" t="s">
        <v>418</v>
      </c>
      <c r="E38" s="123">
        <f>+C38/(E30-SUM(C32:C34))</f>
        <v>7000</v>
      </c>
      <c r="F38" s="120" t="s">
        <v>410</v>
      </c>
    </row>
    <row r="39" spans="1:6" s="120" customFormat="1" x14ac:dyDescent="0.4"/>
    <row r="40" spans="1:6" s="120" customFormat="1" x14ac:dyDescent="0.4">
      <c r="A40" s="120" t="s">
        <v>417</v>
      </c>
    </row>
    <row r="41" spans="1:6" s="120" customFormat="1" x14ac:dyDescent="0.4">
      <c r="B41" s="120" t="s">
        <v>416</v>
      </c>
    </row>
    <row r="42" spans="1:6" s="120" customFormat="1" x14ac:dyDescent="0.4">
      <c r="B42" s="120" t="s">
        <v>415</v>
      </c>
    </row>
    <row r="43" spans="1:6" s="120" customFormat="1" x14ac:dyDescent="0.4"/>
    <row r="44" spans="1:6" s="120" customFormat="1" x14ac:dyDescent="0.4">
      <c r="B44" s="120" t="s">
        <v>414</v>
      </c>
      <c r="C44" s="120">
        <v>236000</v>
      </c>
      <c r="D44" s="120" t="s">
        <v>413</v>
      </c>
      <c r="E44" s="120">
        <f>6000*50</f>
        <v>300000</v>
      </c>
      <c r="F44" s="120" t="s">
        <v>412</v>
      </c>
    </row>
    <row r="45" spans="1:6" s="120" customFormat="1" x14ac:dyDescent="0.4"/>
    <row r="46" spans="1:6" s="120" customFormat="1" x14ac:dyDescent="0.4">
      <c r="B46" s="120" t="s">
        <v>411</v>
      </c>
      <c r="C46" s="122">
        <f>+C38+C44-E44</f>
        <v>1056000</v>
      </c>
      <c r="E46" s="123">
        <f>+C46/(E30-SUM(C32:C34))</f>
        <v>6600</v>
      </c>
      <c r="F46" s="120" t="s">
        <v>410</v>
      </c>
    </row>
    <row r="47" spans="1:6" s="120" customFormat="1" x14ac:dyDescent="0.4"/>
  </sheetData>
  <phoneticPr fontId="3"/>
  <pageMargins left="0.25" right="0.25" top="0.75" bottom="0.75" header="0.3" footer="0.3"/>
  <pageSetup paperSize="9" scale="74"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7" x14ac:dyDescent="0.4">
      <c r="A1" s="1" t="s">
        <v>302</v>
      </c>
      <c r="B1" s="2"/>
      <c r="C1" s="2"/>
      <c r="D1" s="2"/>
      <c r="E1" s="2"/>
      <c r="F1" s="2"/>
      <c r="G1" s="2"/>
      <c r="H1" s="2"/>
      <c r="I1" s="2"/>
      <c r="J1" s="2"/>
      <c r="K1" s="2"/>
      <c r="L1" s="2"/>
      <c r="M1" s="2"/>
      <c r="N1" s="2"/>
      <c r="O1" s="2"/>
      <c r="P1" s="2"/>
      <c r="Q1" s="3"/>
    </row>
    <row r="2" spans="1:17" x14ac:dyDescent="0.4">
      <c r="A2" s="5" t="s">
        <v>442</v>
      </c>
      <c r="B2" s="6"/>
      <c r="C2" s="6"/>
      <c r="D2" s="6"/>
      <c r="E2" s="6"/>
      <c r="F2" s="6"/>
      <c r="G2" s="6"/>
      <c r="H2" s="6"/>
      <c r="I2" s="6"/>
      <c r="J2" s="6"/>
      <c r="K2" s="6"/>
      <c r="L2" s="6"/>
      <c r="M2" s="6"/>
      <c r="N2" s="6"/>
      <c r="O2" s="6"/>
      <c r="P2" s="6"/>
      <c r="Q2" s="7"/>
    </row>
    <row r="3" spans="1:17" x14ac:dyDescent="0.4">
      <c r="A3" s="8" t="s">
        <v>476</v>
      </c>
      <c r="B3" s="9"/>
      <c r="C3" s="9"/>
      <c r="D3" s="9"/>
      <c r="E3" s="9"/>
      <c r="F3" s="9"/>
      <c r="G3" s="9"/>
      <c r="H3" s="9"/>
      <c r="I3" s="9"/>
      <c r="J3" s="9"/>
      <c r="K3" s="9"/>
      <c r="L3" s="9"/>
      <c r="M3" s="9"/>
      <c r="N3" s="9"/>
      <c r="O3" s="9"/>
      <c r="P3" s="9"/>
      <c r="Q3" s="10"/>
    </row>
    <row r="4" spans="1:17" s="12" customFormat="1" x14ac:dyDescent="0.4">
      <c r="A4" s="11"/>
      <c r="B4" s="11"/>
      <c r="C4" s="11"/>
      <c r="D4" s="11"/>
      <c r="E4" s="11"/>
      <c r="F4" s="11"/>
      <c r="G4" s="11"/>
      <c r="H4" s="11"/>
      <c r="I4" s="11"/>
      <c r="J4" s="11"/>
      <c r="K4" s="11"/>
      <c r="L4" s="11"/>
      <c r="M4" s="11"/>
      <c r="N4" s="11"/>
      <c r="O4" s="11"/>
      <c r="P4" s="11"/>
      <c r="Q4" s="11"/>
    </row>
    <row r="5" spans="1:17" ht="18" customHeight="1" x14ac:dyDescent="0.4">
      <c r="A5" s="13" t="s">
        <v>0</v>
      </c>
      <c r="B5" s="14"/>
      <c r="C5" s="14"/>
      <c r="D5" s="14"/>
      <c r="E5" s="14"/>
      <c r="F5" s="14"/>
      <c r="G5" s="14"/>
      <c r="H5" s="14"/>
      <c r="I5" s="14"/>
      <c r="J5" s="14"/>
      <c r="K5" s="14"/>
      <c r="L5" s="14"/>
      <c r="M5" s="14"/>
      <c r="N5" s="14"/>
      <c r="O5" s="14"/>
      <c r="P5" s="14"/>
      <c r="Q5" s="15"/>
    </row>
    <row r="6" spans="1:17" x14ac:dyDescent="0.4">
      <c r="A6" s="16" t="s">
        <v>475</v>
      </c>
      <c r="B6" s="17"/>
      <c r="C6" s="17"/>
      <c r="D6" s="17"/>
      <c r="E6" s="17"/>
      <c r="F6" s="17"/>
      <c r="G6" s="17"/>
      <c r="H6" s="17"/>
      <c r="I6" s="17"/>
      <c r="J6" s="17"/>
      <c r="K6" s="17"/>
      <c r="L6" s="17"/>
      <c r="M6" s="17"/>
      <c r="N6" s="17"/>
      <c r="O6" s="17"/>
      <c r="P6" s="17"/>
      <c r="Q6" s="18"/>
    </row>
    <row r="7" spans="1:17" x14ac:dyDescent="0.4">
      <c r="A7" s="19" t="s">
        <v>474</v>
      </c>
      <c r="B7" s="20"/>
      <c r="C7" s="20"/>
      <c r="D7" s="20"/>
      <c r="E7" s="20"/>
      <c r="F7" s="20"/>
      <c r="G7" s="20"/>
      <c r="H7" s="20"/>
      <c r="I7" s="20"/>
      <c r="J7" s="20"/>
      <c r="K7" s="20"/>
      <c r="L7" s="20"/>
      <c r="M7" s="20"/>
      <c r="N7" s="20"/>
      <c r="O7" s="20"/>
      <c r="P7" s="20"/>
      <c r="Q7" s="21"/>
    </row>
    <row r="8" spans="1:17" s="120" customFormat="1" x14ac:dyDescent="0.4"/>
    <row r="9" spans="1:17" s="120" customFormat="1" x14ac:dyDescent="0.4"/>
    <row r="10" spans="1:17" s="120" customFormat="1" x14ac:dyDescent="0.4"/>
    <row r="11" spans="1:17" s="120" customFormat="1" x14ac:dyDescent="0.4">
      <c r="C11" s="120" t="s">
        <v>469</v>
      </c>
    </row>
    <row r="12" spans="1:17" s="120" customFormat="1" x14ac:dyDescent="0.4"/>
    <row r="13" spans="1:17" s="120" customFormat="1" x14ac:dyDescent="0.4">
      <c r="A13" s="120" t="s">
        <v>473</v>
      </c>
      <c r="D13" s="120">
        <v>10000</v>
      </c>
      <c r="E13" s="120" t="s">
        <v>194</v>
      </c>
      <c r="J13" s="120" t="s">
        <v>473</v>
      </c>
      <c r="M13" s="120">
        <v>5000</v>
      </c>
      <c r="N13" s="120" t="s">
        <v>194</v>
      </c>
    </row>
    <row r="14" spans="1:17" s="120" customFormat="1" x14ac:dyDescent="0.4">
      <c r="A14" s="120" t="s">
        <v>472</v>
      </c>
      <c r="D14" s="120">
        <v>14000</v>
      </c>
      <c r="J14" s="120" t="s">
        <v>472</v>
      </c>
      <c r="M14" s="120">
        <v>18000</v>
      </c>
    </row>
    <row r="15" spans="1:17" s="120" customFormat="1" x14ac:dyDescent="0.4"/>
    <row r="16" spans="1:17" s="120" customFormat="1" x14ac:dyDescent="0.4">
      <c r="A16" s="120" t="s">
        <v>471</v>
      </c>
      <c r="J16" s="120" t="s">
        <v>470</v>
      </c>
    </row>
    <row r="17" spans="1:14" s="120" customFormat="1" x14ac:dyDescent="0.4">
      <c r="C17" s="120" t="s">
        <v>191</v>
      </c>
      <c r="D17" s="120" t="s">
        <v>469</v>
      </c>
      <c r="L17" s="120" t="s">
        <v>191</v>
      </c>
      <c r="M17" s="120" t="s">
        <v>469</v>
      </c>
    </row>
    <row r="18" spans="1:14" s="120" customFormat="1" x14ac:dyDescent="0.4">
      <c r="A18" s="120" t="s">
        <v>468</v>
      </c>
      <c r="B18" s="120" t="s">
        <v>467</v>
      </c>
      <c r="C18" s="120">
        <v>6000</v>
      </c>
      <c r="D18" s="144">
        <v>1</v>
      </c>
      <c r="E18" s="120">
        <f>+C18*D18</f>
        <v>6000</v>
      </c>
      <c r="J18" s="120" t="s">
        <v>466</v>
      </c>
      <c r="L18" s="120">
        <v>4800</v>
      </c>
      <c r="M18" s="144">
        <v>1</v>
      </c>
      <c r="N18" s="120">
        <f>+L18*M18</f>
        <v>4800</v>
      </c>
    </row>
    <row r="19" spans="1:14" s="120" customFormat="1" x14ac:dyDescent="0.4">
      <c r="A19" s="120" t="s">
        <v>447</v>
      </c>
      <c r="C19" s="120">
        <f>6000*1.4</f>
        <v>8400</v>
      </c>
      <c r="D19" s="144">
        <v>0.5</v>
      </c>
      <c r="E19" s="120">
        <f>+C19*D19</f>
        <v>4200</v>
      </c>
      <c r="J19" s="120" t="s">
        <v>447</v>
      </c>
      <c r="L19" s="120">
        <f>6000*1.4</f>
        <v>8400</v>
      </c>
      <c r="M19" s="144">
        <v>1</v>
      </c>
      <c r="N19" s="120">
        <f>+L19*M19</f>
        <v>8400</v>
      </c>
    </row>
    <row r="20" spans="1:14" s="120" customFormat="1" x14ac:dyDescent="0.4">
      <c r="A20" s="120" t="s">
        <v>446</v>
      </c>
      <c r="C20" s="120">
        <v>3600</v>
      </c>
      <c r="D20" s="144">
        <v>0.5</v>
      </c>
      <c r="E20" s="120">
        <f>+C20*D20</f>
        <v>1800</v>
      </c>
      <c r="J20" s="120" t="s">
        <v>446</v>
      </c>
      <c r="L20" s="120">
        <v>3600</v>
      </c>
      <c r="M20" s="144">
        <v>1</v>
      </c>
      <c r="N20" s="120">
        <f>+L20*M20</f>
        <v>3600</v>
      </c>
    </row>
    <row r="21" spans="1:14" s="120" customFormat="1" x14ac:dyDescent="0.4">
      <c r="D21" s="144"/>
      <c r="E21" s="120">
        <f>SUM(E18:E20)</f>
        <v>12000</v>
      </c>
      <c r="N21" s="120">
        <f>SUM(N18:N20)</f>
        <v>16800</v>
      </c>
    </row>
    <row r="22" spans="1:14" s="120" customFormat="1" x14ac:dyDescent="0.4"/>
    <row r="23" spans="1:14" s="120" customFormat="1" x14ac:dyDescent="0.4">
      <c r="A23" s="120" t="s">
        <v>465</v>
      </c>
      <c r="C23" s="120" t="s">
        <v>464</v>
      </c>
      <c r="J23" s="120" t="s">
        <v>465</v>
      </c>
      <c r="L23" s="120" t="s">
        <v>464</v>
      </c>
    </row>
    <row r="24" spans="1:14" s="120" customFormat="1" x14ac:dyDescent="0.4">
      <c r="A24" s="120" t="s">
        <v>460</v>
      </c>
      <c r="E24" s="120">
        <v>1400</v>
      </c>
      <c r="F24" s="120" t="s">
        <v>195</v>
      </c>
    </row>
    <row r="25" spans="1:14" s="120" customFormat="1" x14ac:dyDescent="0.4"/>
    <row r="26" spans="1:14" s="120" customFormat="1" x14ac:dyDescent="0.4"/>
    <row r="27" spans="1:14" s="120" customFormat="1" x14ac:dyDescent="0.4">
      <c r="A27" s="120" t="s">
        <v>345</v>
      </c>
      <c r="C27" s="120" t="s">
        <v>463</v>
      </c>
      <c r="E27" s="120" t="s">
        <v>462</v>
      </c>
    </row>
    <row r="28" spans="1:14" s="120" customFormat="1" x14ac:dyDescent="0.4"/>
    <row r="29" spans="1:14" s="120" customFormat="1" x14ac:dyDescent="0.4">
      <c r="A29" s="120" t="s">
        <v>449</v>
      </c>
      <c r="E29" s="120">
        <f>+D14*D13/10000</f>
        <v>14000</v>
      </c>
    </row>
    <row r="30" spans="1:14" s="120" customFormat="1" x14ac:dyDescent="0.4">
      <c r="A30" s="120" t="s">
        <v>448</v>
      </c>
      <c r="C30" s="120">
        <f>+E18*D13/10000</f>
        <v>6000</v>
      </c>
    </row>
    <row r="31" spans="1:14" s="120" customFormat="1" x14ac:dyDescent="0.4">
      <c r="A31" s="120" t="s">
        <v>447</v>
      </c>
      <c r="C31" s="120">
        <f>+E19*D13/10000</f>
        <v>4200</v>
      </c>
    </row>
    <row r="32" spans="1:14" s="120" customFormat="1" x14ac:dyDescent="0.4">
      <c r="A32" s="120" t="s">
        <v>446</v>
      </c>
      <c r="C32" s="120">
        <f>+E20*D13/10000</f>
        <v>1800</v>
      </c>
    </row>
    <row r="33" spans="1:9" s="120" customFormat="1" x14ac:dyDescent="0.4">
      <c r="A33" s="120" t="s">
        <v>461</v>
      </c>
      <c r="C33" s="120">
        <f>-C18*0.1*0.2</f>
        <v>-120</v>
      </c>
    </row>
    <row r="34" spans="1:9" s="120" customFormat="1" x14ac:dyDescent="0.4">
      <c r="A34" s="120" t="s">
        <v>460</v>
      </c>
      <c r="C34" s="120">
        <f>+E24*D13/10000</f>
        <v>1400</v>
      </c>
    </row>
    <row r="35" spans="1:9" s="120" customFormat="1" ht="16.8" thickBot="1" x14ac:dyDescent="0.45">
      <c r="A35" s="120" t="s">
        <v>459</v>
      </c>
      <c r="C35" s="141">
        <f>+SUM(C30:C34)</f>
        <v>13280</v>
      </c>
      <c r="E35" s="141">
        <f>+E29</f>
        <v>14000</v>
      </c>
      <c r="G35" s="120" t="s">
        <v>444</v>
      </c>
      <c r="H35" s="123">
        <f>+E35-C35</f>
        <v>720</v>
      </c>
      <c r="I35" s="120" t="s">
        <v>443</v>
      </c>
    </row>
    <row r="36" spans="1:9" s="120" customFormat="1" ht="16.8" thickTop="1" x14ac:dyDescent="0.4"/>
    <row r="37" spans="1:9" s="120" customFormat="1" x14ac:dyDescent="0.4">
      <c r="A37" s="120" t="s">
        <v>333</v>
      </c>
      <c r="B37" s="120" t="s">
        <v>458</v>
      </c>
    </row>
    <row r="38" spans="1:9" s="120" customFormat="1" x14ac:dyDescent="0.4"/>
    <row r="39" spans="1:9" s="120" customFormat="1" x14ac:dyDescent="0.4">
      <c r="B39" s="120">
        <f>+E21</f>
        <v>12000</v>
      </c>
      <c r="C39" s="120" t="s">
        <v>457</v>
      </c>
      <c r="D39" s="143"/>
      <c r="E39" s="120">
        <f>E29</f>
        <v>14000</v>
      </c>
      <c r="F39" s="120" t="s">
        <v>454</v>
      </c>
      <c r="G39" s="120" t="s">
        <v>456</v>
      </c>
      <c r="H39" s="123">
        <f>+E40+1</f>
        <v>7001</v>
      </c>
      <c r="I39" s="120" t="s">
        <v>455</v>
      </c>
    </row>
    <row r="40" spans="1:9" s="120" customFormat="1" x14ac:dyDescent="0.4">
      <c r="C40" s="120" t="s">
        <v>454</v>
      </c>
      <c r="D40" s="120" t="s">
        <v>453</v>
      </c>
      <c r="E40" s="120">
        <v>7000</v>
      </c>
    </row>
    <row r="41" spans="1:9" s="120" customFormat="1" x14ac:dyDescent="0.4"/>
    <row r="42" spans="1:9" s="120" customFormat="1" x14ac:dyDescent="0.4">
      <c r="A42" s="120" t="s">
        <v>452</v>
      </c>
      <c r="E42" s="120" t="s">
        <v>451</v>
      </c>
      <c r="G42" s="120" t="s">
        <v>450</v>
      </c>
    </row>
    <row r="43" spans="1:9" s="120" customFormat="1" x14ac:dyDescent="0.4">
      <c r="A43" s="120" t="s">
        <v>449</v>
      </c>
      <c r="E43" s="120">
        <f>+E29</f>
        <v>14000</v>
      </c>
      <c r="G43" s="120">
        <f>-M13*M14/10000</f>
        <v>-9000</v>
      </c>
    </row>
    <row r="44" spans="1:9" s="120" customFormat="1" x14ac:dyDescent="0.4">
      <c r="A44" s="120" t="s">
        <v>448</v>
      </c>
      <c r="G44" s="120">
        <f>+N18*M13/10000</f>
        <v>2400</v>
      </c>
    </row>
    <row r="45" spans="1:9" s="120" customFormat="1" x14ac:dyDescent="0.4">
      <c r="A45" s="120" t="s">
        <v>447</v>
      </c>
      <c r="G45" s="120">
        <f>+N19*M13/10000</f>
        <v>4200</v>
      </c>
    </row>
    <row r="46" spans="1:9" s="120" customFormat="1" x14ac:dyDescent="0.4">
      <c r="A46" s="120" t="s">
        <v>446</v>
      </c>
      <c r="G46" s="120">
        <f>+N20*M13/10000</f>
        <v>1800</v>
      </c>
    </row>
    <row r="47" spans="1:9" s="120" customFormat="1" x14ac:dyDescent="0.4">
      <c r="E47" s="142">
        <f>+E43</f>
        <v>14000</v>
      </c>
      <c r="G47" s="142">
        <f>+SUM(G43:G46)</f>
        <v>-600</v>
      </c>
    </row>
    <row r="48" spans="1:9" s="120" customFormat="1" ht="16.8" thickBot="1" x14ac:dyDescent="0.45">
      <c r="F48" s="120" t="s">
        <v>445</v>
      </c>
      <c r="G48" s="141">
        <f>+E47+G47</f>
        <v>13400</v>
      </c>
    </row>
    <row r="49" spans="7:9" s="120" customFormat="1" ht="16.8" thickTop="1" x14ac:dyDescent="0.4"/>
    <row r="50" spans="7:9" s="120" customFormat="1" x14ac:dyDescent="0.4">
      <c r="G50" s="120" t="s">
        <v>444</v>
      </c>
      <c r="H50" s="123">
        <f>+G48-C35</f>
        <v>120</v>
      </c>
      <c r="I50" s="120" t="s">
        <v>443</v>
      </c>
    </row>
  </sheetData>
  <phoneticPr fontId="3"/>
  <pageMargins left="0.25" right="0.25" top="0.75" bottom="0.75" header="0.3" footer="0.3"/>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7" x14ac:dyDescent="0.4">
      <c r="A1" s="1" t="s">
        <v>302</v>
      </c>
      <c r="B1" s="2"/>
      <c r="C1" s="2"/>
      <c r="D1" s="2"/>
      <c r="E1" s="2"/>
      <c r="F1" s="2"/>
      <c r="G1" s="2"/>
      <c r="H1" s="2"/>
      <c r="I1" s="2"/>
      <c r="J1" s="2"/>
      <c r="K1" s="2"/>
      <c r="L1" s="2"/>
      <c r="M1" s="2"/>
      <c r="N1" s="2"/>
      <c r="O1" s="2"/>
      <c r="P1" s="2"/>
      <c r="Q1" s="3"/>
    </row>
    <row r="2" spans="1:17" x14ac:dyDescent="0.4">
      <c r="A2" s="5" t="s">
        <v>522</v>
      </c>
      <c r="B2" s="6"/>
      <c r="C2" s="6"/>
      <c r="D2" s="6"/>
      <c r="E2" s="6"/>
      <c r="F2" s="6"/>
      <c r="G2" s="6"/>
      <c r="H2" s="6"/>
      <c r="I2" s="6"/>
      <c r="J2" s="6"/>
      <c r="K2" s="6"/>
      <c r="L2" s="6"/>
      <c r="M2" s="6"/>
      <c r="N2" s="6"/>
      <c r="O2" s="6"/>
      <c r="P2" s="6"/>
      <c r="Q2" s="7"/>
    </row>
    <row r="3" spans="1:17" x14ac:dyDescent="0.4">
      <c r="A3" s="8" t="s">
        <v>521</v>
      </c>
      <c r="B3" s="9"/>
      <c r="C3" s="9"/>
      <c r="D3" s="9"/>
      <c r="E3" s="9"/>
      <c r="F3" s="9"/>
      <c r="G3" s="9"/>
      <c r="H3" s="9"/>
      <c r="I3" s="9"/>
      <c r="J3" s="9"/>
      <c r="K3" s="9"/>
      <c r="L3" s="9"/>
      <c r="M3" s="9"/>
      <c r="N3" s="9"/>
      <c r="O3" s="9"/>
      <c r="P3" s="9"/>
      <c r="Q3" s="10"/>
    </row>
    <row r="4" spans="1:17" s="12" customFormat="1" x14ac:dyDescent="0.4">
      <c r="A4" s="11"/>
      <c r="B4" s="11"/>
      <c r="C4" s="11"/>
      <c r="D4" s="11"/>
      <c r="E4" s="11"/>
      <c r="F4" s="11"/>
      <c r="G4" s="11"/>
      <c r="H4" s="11"/>
      <c r="I4" s="11"/>
      <c r="J4" s="11"/>
      <c r="K4" s="11"/>
      <c r="L4" s="11"/>
      <c r="M4" s="11"/>
      <c r="N4" s="11"/>
      <c r="O4" s="11"/>
      <c r="P4" s="11"/>
      <c r="Q4" s="11"/>
    </row>
    <row r="5" spans="1:17" ht="18" customHeight="1" x14ac:dyDescent="0.4">
      <c r="A5" s="13" t="s">
        <v>0</v>
      </c>
      <c r="B5" s="14"/>
      <c r="C5" s="14"/>
      <c r="D5" s="14"/>
      <c r="E5" s="14"/>
      <c r="F5" s="14"/>
      <c r="G5" s="14"/>
      <c r="H5" s="14"/>
      <c r="I5" s="14"/>
      <c r="J5" s="14"/>
      <c r="K5" s="14"/>
      <c r="L5" s="14"/>
      <c r="M5" s="14"/>
      <c r="N5" s="14"/>
      <c r="O5" s="14"/>
      <c r="P5" s="14"/>
      <c r="Q5" s="15"/>
    </row>
    <row r="6" spans="1:17" x14ac:dyDescent="0.4">
      <c r="A6" s="16" t="s">
        <v>520</v>
      </c>
      <c r="B6" s="17"/>
      <c r="C6" s="17"/>
      <c r="D6" s="17"/>
      <c r="E6" s="17"/>
      <c r="F6" s="17"/>
      <c r="G6" s="17"/>
      <c r="H6" s="17"/>
      <c r="I6" s="17"/>
      <c r="J6" s="17"/>
      <c r="K6" s="17"/>
      <c r="L6" s="17"/>
      <c r="M6" s="17"/>
      <c r="N6" s="17"/>
      <c r="O6" s="17"/>
      <c r="P6" s="17"/>
      <c r="Q6" s="18"/>
    </row>
    <row r="7" spans="1:17" x14ac:dyDescent="0.4">
      <c r="A7" s="19" t="s">
        <v>519</v>
      </c>
      <c r="B7" s="20"/>
      <c r="C7" s="20"/>
      <c r="D7" s="20"/>
      <c r="E7" s="20"/>
      <c r="F7" s="20"/>
      <c r="G7" s="20"/>
      <c r="H7" s="20"/>
      <c r="I7" s="20"/>
      <c r="J7" s="20"/>
      <c r="K7" s="20"/>
      <c r="L7" s="20"/>
      <c r="M7" s="20"/>
      <c r="N7" s="20"/>
      <c r="O7" s="20"/>
      <c r="P7" s="20"/>
      <c r="Q7" s="21"/>
    </row>
    <row r="8" spans="1:17" s="120" customFormat="1" x14ac:dyDescent="0.4"/>
    <row r="10" spans="1:17" s="120" customFormat="1" x14ac:dyDescent="0.4">
      <c r="A10" s="120" t="s">
        <v>349</v>
      </c>
    </row>
    <row r="11" spans="1:17" s="120" customFormat="1" x14ac:dyDescent="0.4"/>
    <row r="12" spans="1:17" s="120" customFormat="1" x14ac:dyDescent="0.4">
      <c r="A12" s="120" t="s">
        <v>518</v>
      </c>
      <c r="F12" s="120" t="s">
        <v>239</v>
      </c>
      <c r="G12" s="120" t="s">
        <v>483</v>
      </c>
      <c r="H12" s="120" t="s">
        <v>517</v>
      </c>
      <c r="I12" s="120" t="s">
        <v>232</v>
      </c>
    </row>
    <row r="13" spans="1:17" s="120" customFormat="1" x14ac:dyDescent="0.4">
      <c r="D13" s="120" t="s">
        <v>516</v>
      </c>
      <c r="F13" s="120">
        <v>30000</v>
      </c>
      <c r="H13" s="120">
        <v>10000</v>
      </c>
      <c r="I13" s="120">
        <v>8500</v>
      </c>
    </row>
    <row r="14" spans="1:17" s="120" customFormat="1" x14ac:dyDescent="0.4">
      <c r="D14" s="120" t="s">
        <v>515</v>
      </c>
      <c r="F14" s="120">
        <v>5000</v>
      </c>
      <c r="H14" s="120">
        <v>15000</v>
      </c>
      <c r="I14" s="120">
        <v>10000</v>
      </c>
    </row>
    <row r="15" spans="1:17" s="120" customFormat="1" x14ac:dyDescent="0.4">
      <c r="D15" s="120" t="s">
        <v>498</v>
      </c>
      <c r="E15" s="120">
        <v>30000</v>
      </c>
      <c r="F15" s="120">
        <v>10000</v>
      </c>
      <c r="G15" s="120">
        <v>20000</v>
      </c>
    </row>
    <row r="16" spans="1:17" s="120" customFormat="1" x14ac:dyDescent="0.4">
      <c r="A16" s="120" t="s">
        <v>495</v>
      </c>
      <c r="C16" s="120">
        <v>18000</v>
      </c>
      <c r="F16" s="148">
        <f>+C16*F15/E15</f>
        <v>6000</v>
      </c>
      <c r="G16" s="148">
        <f>+C16*G15/E15</f>
        <v>12000</v>
      </c>
    </row>
    <row r="17" spans="1:12" s="120" customFormat="1" x14ac:dyDescent="0.4"/>
    <row r="18" spans="1:12" s="120" customFormat="1" x14ac:dyDescent="0.4">
      <c r="D18" s="120" t="s">
        <v>498</v>
      </c>
      <c r="G18" s="120">
        <v>20000</v>
      </c>
      <c r="H18" s="120">
        <v>15000</v>
      </c>
      <c r="I18" s="120">
        <v>5000</v>
      </c>
    </row>
    <row r="19" spans="1:12" s="120" customFormat="1" x14ac:dyDescent="0.4">
      <c r="A19" s="120" t="s">
        <v>494</v>
      </c>
      <c r="C19" s="120">
        <v>8400</v>
      </c>
      <c r="G19" s="120">
        <f>+C19+G16</f>
        <v>20400</v>
      </c>
      <c r="H19" s="148">
        <f>+$G$19*H18/$G$18</f>
        <v>15300</v>
      </c>
      <c r="I19" s="148">
        <f>+$G$19*I18/$G$18</f>
        <v>5100</v>
      </c>
    </row>
    <row r="20" spans="1:12" s="120" customFormat="1" x14ac:dyDescent="0.4">
      <c r="A20" s="120" t="s">
        <v>514</v>
      </c>
      <c r="F20" s="148">
        <v>2400</v>
      </c>
      <c r="H20" s="148">
        <v>1200</v>
      </c>
      <c r="I20" s="148">
        <v>1800</v>
      </c>
    </row>
    <row r="21" spans="1:12" s="120" customFormat="1" x14ac:dyDescent="0.4">
      <c r="A21" s="120" t="s">
        <v>513</v>
      </c>
      <c r="F21" s="120">
        <f>+F16+F20</f>
        <v>8400</v>
      </c>
      <c r="H21" s="120">
        <f>+H19+H20</f>
        <v>16500</v>
      </c>
      <c r="I21" s="120">
        <f>+I19+I20</f>
        <v>6900</v>
      </c>
    </row>
    <row r="22" spans="1:12" s="120" customFormat="1" x14ac:dyDescent="0.4">
      <c r="A22" s="120" t="s">
        <v>512</v>
      </c>
      <c r="F22" s="120">
        <f>+F21*10000/F14</f>
        <v>16800</v>
      </c>
      <c r="H22" s="120">
        <f>+H21*10000/H14</f>
        <v>11000</v>
      </c>
      <c r="I22" s="120">
        <f>+I21*10000/I14</f>
        <v>6900</v>
      </c>
      <c r="J22" s="120" t="s">
        <v>358</v>
      </c>
    </row>
    <row r="23" spans="1:12" s="120" customFormat="1" x14ac:dyDescent="0.4">
      <c r="A23" s="120" t="s">
        <v>511</v>
      </c>
      <c r="F23" s="120">
        <f>+F13*F14/10000</f>
        <v>15000</v>
      </c>
      <c r="H23" s="120">
        <f>+H13*H14/10000</f>
        <v>15000</v>
      </c>
      <c r="I23" s="120">
        <f>+I13*I14/10000</f>
        <v>8500</v>
      </c>
    </row>
    <row r="24" spans="1:12" s="120" customFormat="1" ht="16.8" thickBot="1" x14ac:dyDescent="0.45">
      <c r="A24" s="120" t="s">
        <v>510</v>
      </c>
      <c r="F24" s="147">
        <f>+F23-F21</f>
        <v>6600</v>
      </c>
      <c r="G24" s="141"/>
      <c r="H24" s="147">
        <f>+H23-H21</f>
        <v>-1500</v>
      </c>
      <c r="I24" s="147">
        <f>+I23-I21</f>
        <v>1600</v>
      </c>
      <c r="J24" s="145">
        <f>+SUM(F24:I24)</f>
        <v>6700</v>
      </c>
      <c r="L24" s="120" t="s">
        <v>509</v>
      </c>
    </row>
    <row r="25" spans="1:12" s="120" customFormat="1" ht="16.8" thickTop="1" x14ac:dyDescent="0.4"/>
    <row r="26" spans="1:12" s="120" customFormat="1" x14ac:dyDescent="0.4">
      <c r="A26" s="120" t="s">
        <v>345</v>
      </c>
      <c r="B26" s="120" t="s">
        <v>508</v>
      </c>
    </row>
    <row r="27" spans="1:12" s="120" customFormat="1" x14ac:dyDescent="0.4">
      <c r="F27" s="120" t="s">
        <v>239</v>
      </c>
      <c r="G27" s="120" t="s">
        <v>483</v>
      </c>
      <c r="H27" s="120" t="s">
        <v>285</v>
      </c>
      <c r="I27" s="120" t="s">
        <v>232</v>
      </c>
    </row>
    <row r="28" spans="1:12" s="120" customFormat="1" x14ac:dyDescent="0.4">
      <c r="A28" s="120" t="s">
        <v>507</v>
      </c>
      <c r="F28" s="120">
        <f>+F23</f>
        <v>15000</v>
      </c>
      <c r="H28" s="120">
        <f>+H23</f>
        <v>15000</v>
      </c>
      <c r="I28" s="120">
        <f>+I23</f>
        <v>8500</v>
      </c>
    </row>
    <row r="29" spans="1:12" s="120" customFormat="1" x14ac:dyDescent="0.4">
      <c r="A29" s="120" t="s">
        <v>481</v>
      </c>
      <c r="F29" s="120">
        <f>+F20</f>
        <v>2400</v>
      </c>
      <c r="H29" s="120">
        <f>+H20</f>
        <v>1200</v>
      </c>
      <c r="I29" s="120">
        <f>+I20</f>
        <v>1800</v>
      </c>
    </row>
    <row r="30" spans="1:12" s="120" customFormat="1" x14ac:dyDescent="0.4">
      <c r="A30" s="120" t="s">
        <v>506</v>
      </c>
      <c r="F30" s="120">
        <f>+F28-F29</f>
        <v>12600</v>
      </c>
      <c r="H30" s="120">
        <f>+H28-H29</f>
        <v>13800</v>
      </c>
      <c r="I30" s="120">
        <f>+I28-I29</f>
        <v>6700</v>
      </c>
    </row>
    <row r="31" spans="1:12" s="120" customFormat="1" x14ac:dyDescent="0.4">
      <c r="A31" s="120" t="s">
        <v>505</v>
      </c>
      <c r="H31" s="120">
        <f>+H30-H34</f>
        <v>8145.3658536585363</v>
      </c>
      <c r="I31" s="120">
        <f>+I30-I34</f>
        <v>3954.6341463414633</v>
      </c>
    </row>
    <row r="32" spans="1:12" s="120" customFormat="1" x14ac:dyDescent="0.4"/>
    <row r="33" spans="1:12" s="120" customFormat="1" x14ac:dyDescent="0.4">
      <c r="A33" s="120" t="s">
        <v>495</v>
      </c>
      <c r="C33" s="120">
        <f>+C16</f>
        <v>18000</v>
      </c>
      <c r="F33" s="120">
        <f>+$C$33*F30/SUM($F$30,$H$31,$I$31)</f>
        <v>9182.1862348178129</v>
      </c>
      <c r="H33" s="120">
        <f>+$C$33*H31/SUM($F$30,$H$31,$I$31)</f>
        <v>5935.8941443665453</v>
      </c>
      <c r="I33" s="120">
        <f>+$C$33*I31/SUM($F$30,$H$31,$I$31)</f>
        <v>2881.9196208156409</v>
      </c>
    </row>
    <row r="34" spans="1:12" s="120" customFormat="1" x14ac:dyDescent="0.4">
      <c r="A34" s="120" t="s">
        <v>494</v>
      </c>
      <c r="C34" s="120">
        <f>+C19</f>
        <v>8400</v>
      </c>
      <c r="H34" s="120">
        <f>+C34*H30/SUM($H$30:$I$30)</f>
        <v>5654.6341463414637</v>
      </c>
      <c r="I34" s="120">
        <f>+C34*I30/SUM($H$30:$I$30)</f>
        <v>2745.3658536585367</v>
      </c>
    </row>
    <row r="35" spans="1:12" s="120" customFormat="1" ht="16.8" thickBot="1" x14ac:dyDescent="0.45">
      <c r="A35" s="120" t="s">
        <v>493</v>
      </c>
      <c r="F35" s="147">
        <f>+F30-(F33+F34)</f>
        <v>3417.8137651821871</v>
      </c>
      <c r="G35" s="147"/>
      <c r="H35" s="147">
        <f>+H30-(H33+H34)</f>
        <v>2209.4717092919909</v>
      </c>
      <c r="I35" s="147">
        <f>+I30-(I33+I34)</f>
        <v>1072.714525525822</v>
      </c>
      <c r="J35" s="145">
        <f>+SUM(F35:I35)</f>
        <v>6700</v>
      </c>
      <c r="L35" s="120" t="s">
        <v>504</v>
      </c>
    </row>
    <row r="36" spans="1:12" s="120" customFormat="1" ht="16.8" thickTop="1" x14ac:dyDescent="0.4"/>
    <row r="37" spans="1:12" s="120" customFormat="1" x14ac:dyDescent="0.4">
      <c r="A37" s="120" t="s">
        <v>333</v>
      </c>
      <c r="B37" s="120" t="s">
        <v>503</v>
      </c>
      <c r="F37" s="120" t="s">
        <v>239</v>
      </c>
      <c r="G37" s="120" t="s">
        <v>502</v>
      </c>
      <c r="H37" s="120" t="s">
        <v>501</v>
      </c>
      <c r="I37" s="120" t="s">
        <v>232</v>
      </c>
    </row>
    <row r="38" spans="1:12" s="120" customFormat="1" x14ac:dyDescent="0.4">
      <c r="A38" s="120" t="s">
        <v>500</v>
      </c>
      <c r="F38" s="120">
        <v>12000</v>
      </c>
      <c r="G38" s="120">
        <v>6000</v>
      </c>
      <c r="H38" s="120">
        <v>9500</v>
      </c>
      <c r="I38" s="120">
        <v>15500</v>
      </c>
      <c r="J38" s="120" t="s">
        <v>499</v>
      </c>
    </row>
    <row r="39" spans="1:12" s="120" customFormat="1" x14ac:dyDescent="0.4">
      <c r="A39" s="120" t="s">
        <v>498</v>
      </c>
      <c r="F39" s="120">
        <v>10000</v>
      </c>
      <c r="G39" s="120">
        <v>20000</v>
      </c>
      <c r="H39" s="120">
        <v>15000</v>
      </c>
      <c r="I39" s="120">
        <v>5000</v>
      </c>
      <c r="J39" s="120" t="s">
        <v>497</v>
      </c>
    </row>
    <row r="40" spans="1:12" s="120" customFormat="1" x14ac:dyDescent="0.4">
      <c r="A40" s="120" t="s">
        <v>496</v>
      </c>
      <c r="F40" s="120">
        <f>+F38*F39/10000</f>
        <v>12000</v>
      </c>
      <c r="G40" s="120">
        <f>+G38*G39/10000</f>
        <v>12000</v>
      </c>
      <c r="H40" s="120">
        <f>+H38*H39/10000</f>
        <v>14250</v>
      </c>
      <c r="I40" s="120">
        <f>+I38*I39/10000</f>
        <v>7750</v>
      </c>
      <c r="J40" s="120" t="s">
        <v>195</v>
      </c>
    </row>
    <row r="41" spans="1:12" s="120" customFormat="1" x14ac:dyDescent="0.4"/>
    <row r="42" spans="1:12" s="120" customFormat="1" x14ac:dyDescent="0.4">
      <c r="A42" s="120" t="s">
        <v>495</v>
      </c>
      <c r="C42" s="120">
        <v>18000</v>
      </c>
      <c r="F42" s="120">
        <f>+$C$42*F40/SUM($F$40:$G$40)</f>
        <v>9000</v>
      </c>
      <c r="G42" s="120">
        <f>+$C$42*G40/SUM($F$40:$G$40)</f>
        <v>9000</v>
      </c>
    </row>
    <row r="43" spans="1:12" s="120" customFormat="1" x14ac:dyDescent="0.4">
      <c r="A43" s="120" t="s">
        <v>494</v>
      </c>
      <c r="C43" s="120">
        <v>8400</v>
      </c>
      <c r="H43" s="120">
        <f>+($C$43+$G$42)*H40/SUM($H$40:$I$40)</f>
        <v>11270.454545454546</v>
      </c>
      <c r="I43" s="120">
        <f>+($C$43+$G$42)*I40/SUM($H$40:$I$40)</f>
        <v>6129.545454545455</v>
      </c>
    </row>
    <row r="44" spans="1:12" s="120" customFormat="1" x14ac:dyDescent="0.4">
      <c r="A44" s="120" t="s">
        <v>481</v>
      </c>
      <c r="F44" s="120">
        <f>+F29</f>
        <v>2400</v>
      </c>
      <c r="H44" s="120">
        <f>+H29</f>
        <v>1200</v>
      </c>
      <c r="I44" s="120">
        <f>+I29</f>
        <v>1800</v>
      </c>
    </row>
    <row r="45" spans="1:12" s="120" customFormat="1" ht="16.8" thickBot="1" x14ac:dyDescent="0.45">
      <c r="A45" s="120" t="s">
        <v>493</v>
      </c>
      <c r="F45" s="147">
        <f>+F23-SUM(F42:F44)</f>
        <v>3600</v>
      </c>
      <c r="G45" s="147"/>
      <c r="H45" s="146">
        <f>+H23-SUM(H42:H44)</f>
        <v>2529.545454545454</v>
      </c>
      <c r="I45" s="146">
        <f>+I23-SUM(I42:I44)</f>
        <v>570.45454545454504</v>
      </c>
      <c r="J45" s="145">
        <f>+SUM(F45:I45)</f>
        <v>6699.9999999999991</v>
      </c>
      <c r="L45" s="120" t="s">
        <v>492</v>
      </c>
    </row>
    <row r="46" spans="1:12" s="120" customFormat="1" ht="16.8" thickTop="1" x14ac:dyDescent="0.4"/>
    <row r="47" spans="1:12" s="120" customFormat="1" x14ac:dyDescent="0.4">
      <c r="A47" s="120" t="s">
        <v>452</v>
      </c>
    </row>
    <row r="48" spans="1:12" s="120" customFormat="1" x14ac:dyDescent="0.4">
      <c r="B48" s="120" t="s">
        <v>491</v>
      </c>
    </row>
    <row r="49" spans="1:15" s="120" customFormat="1" x14ac:dyDescent="0.4">
      <c r="A49" s="120" t="s">
        <v>490</v>
      </c>
      <c r="G49" s="120" t="s">
        <v>489</v>
      </c>
      <c r="H49" s="120" t="s">
        <v>285</v>
      </c>
    </row>
    <row r="50" spans="1:15" s="120" customFormat="1" x14ac:dyDescent="0.4">
      <c r="B50" s="120" t="s">
        <v>400</v>
      </c>
      <c r="G50" s="120">
        <f>+H40</f>
        <v>14250</v>
      </c>
      <c r="H50" s="120">
        <f>+H23</f>
        <v>15000</v>
      </c>
    </row>
    <row r="51" spans="1:15" s="120" customFormat="1" x14ac:dyDescent="0.4">
      <c r="B51" s="120" t="s">
        <v>481</v>
      </c>
      <c r="H51" s="120">
        <f>+H44</f>
        <v>1200</v>
      </c>
    </row>
    <row r="52" spans="1:15" s="120" customFormat="1" x14ac:dyDescent="0.4">
      <c r="B52" s="120" t="s">
        <v>419</v>
      </c>
      <c r="G52" s="120">
        <f>+G50</f>
        <v>14250</v>
      </c>
      <c r="H52" s="120">
        <f>+H50-H51</f>
        <v>13800</v>
      </c>
      <c r="J52" s="120" t="s">
        <v>488</v>
      </c>
      <c r="K52" s="122">
        <f>+G52-H52</f>
        <v>450</v>
      </c>
      <c r="L52" s="120" t="s">
        <v>477</v>
      </c>
      <c r="N52" s="123">
        <f>+$J$45+K52</f>
        <v>7149.9999999999991</v>
      </c>
      <c r="O52" s="120" t="s">
        <v>195</v>
      </c>
    </row>
    <row r="53" spans="1:15" s="120" customFormat="1" x14ac:dyDescent="0.4"/>
    <row r="54" spans="1:15" s="120" customFormat="1" x14ac:dyDescent="0.4">
      <c r="A54" s="120" t="s">
        <v>487</v>
      </c>
      <c r="H54" s="120" t="s">
        <v>486</v>
      </c>
      <c r="I54" s="120" t="s">
        <v>232</v>
      </c>
    </row>
    <row r="55" spans="1:15" s="120" customFormat="1" x14ac:dyDescent="0.4">
      <c r="B55" s="120" t="s">
        <v>400</v>
      </c>
      <c r="H55" s="120">
        <f>+I40</f>
        <v>7750</v>
      </c>
      <c r="I55" s="120">
        <f>+I23</f>
        <v>8500</v>
      </c>
    </row>
    <row r="56" spans="1:15" s="120" customFormat="1" x14ac:dyDescent="0.4">
      <c r="B56" s="120" t="s">
        <v>481</v>
      </c>
      <c r="I56" s="120">
        <f>+I44</f>
        <v>1800</v>
      </c>
    </row>
    <row r="57" spans="1:15" s="120" customFormat="1" x14ac:dyDescent="0.4">
      <c r="B57" s="120" t="s">
        <v>419</v>
      </c>
      <c r="H57" s="120">
        <f>+H55</f>
        <v>7750</v>
      </c>
      <c r="I57" s="120">
        <f>+I55-I56</f>
        <v>6700</v>
      </c>
      <c r="J57" s="120" t="s">
        <v>485</v>
      </c>
      <c r="K57" s="122">
        <f>+H57-I57</f>
        <v>1050</v>
      </c>
      <c r="L57" s="120" t="s">
        <v>477</v>
      </c>
      <c r="N57" s="123">
        <f>+$J$45+K57</f>
        <v>7749.9999999999991</v>
      </c>
      <c r="O57" s="120" t="s">
        <v>195</v>
      </c>
    </row>
    <row r="58" spans="1:15" s="120" customFormat="1" x14ac:dyDescent="0.4"/>
    <row r="59" spans="1:15" s="120" customFormat="1" x14ac:dyDescent="0.4">
      <c r="A59" s="120" t="s">
        <v>484</v>
      </c>
      <c r="G59" s="120" t="s">
        <v>483</v>
      </c>
      <c r="H59" s="120" t="s">
        <v>482</v>
      </c>
    </row>
    <row r="60" spans="1:15" s="120" customFormat="1" x14ac:dyDescent="0.4">
      <c r="B60" s="120" t="s">
        <v>400</v>
      </c>
      <c r="G60" s="120">
        <f>+G40</f>
        <v>12000</v>
      </c>
      <c r="H60" s="120">
        <f>+H23+I23</f>
        <v>23500</v>
      </c>
    </row>
    <row r="61" spans="1:15" s="120" customFormat="1" x14ac:dyDescent="0.4">
      <c r="B61" s="120" t="s">
        <v>481</v>
      </c>
      <c r="H61" s="120">
        <f>+C43+H44+I44</f>
        <v>11400</v>
      </c>
    </row>
    <row r="62" spans="1:15" s="120" customFormat="1" x14ac:dyDescent="0.4">
      <c r="B62" s="120" t="s">
        <v>419</v>
      </c>
      <c r="G62" s="120">
        <f>+G60</f>
        <v>12000</v>
      </c>
      <c r="H62" s="120">
        <f>+H60-H61</f>
        <v>12100</v>
      </c>
      <c r="J62" s="120" t="s">
        <v>480</v>
      </c>
      <c r="K62" s="122">
        <f>+G62-H62</f>
        <v>-100</v>
      </c>
      <c r="L62" s="120" t="s">
        <v>477</v>
      </c>
      <c r="N62" s="123">
        <f>+$J$45+K62</f>
        <v>6599.9999999999991</v>
      </c>
      <c r="O62" s="120" t="s">
        <v>195</v>
      </c>
    </row>
    <row r="63" spans="1:15" s="120" customFormat="1" x14ac:dyDescent="0.4"/>
    <row r="64" spans="1:15" s="120" customFormat="1" x14ac:dyDescent="0.4">
      <c r="A64" s="120" t="s">
        <v>479</v>
      </c>
    </row>
    <row r="65" spans="10:15" s="120" customFormat="1" x14ac:dyDescent="0.4">
      <c r="J65" s="120" t="s">
        <v>478</v>
      </c>
      <c r="K65" s="122">
        <f>+K52+K57</f>
        <v>1500</v>
      </c>
      <c r="L65" s="120" t="s">
        <v>477</v>
      </c>
      <c r="N65" s="123">
        <f>+$J$45+K65</f>
        <v>8200</v>
      </c>
      <c r="O65" s="120" t="s">
        <v>195</v>
      </c>
    </row>
    <row r="66" spans="10:15" s="120" customFormat="1" x14ac:dyDescent="0.4"/>
    <row r="67" spans="10:15" s="120" customFormat="1" x14ac:dyDescent="0.4"/>
    <row r="68" spans="10:15" s="120" customFormat="1" x14ac:dyDescent="0.4"/>
  </sheetData>
  <phoneticPr fontId="3"/>
  <pageMargins left="0.25" right="0.25"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90" zoomScaleNormal="90" workbookViewId="0">
      <selection activeCell="I27" sqref="I27"/>
    </sheetView>
  </sheetViews>
  <sheetFormatPr defaultColWidth="12" defaultRowHeight="16.2" x14ac:dyDescent="0.4"/>
  <cols>
    <col min="1" max="1" width="12.109375" style="4" customWidth="1"/>
    <col min="2" max="5" width="13.109375" style="4" customWidth="1"/>
    <col min="6" max="7" width="12.6640625" style="4" customWidth="1"/>
    <col min="8" max="10" width="13.109375" style="4" customWidth="1"/>
    <col min="11" max="11" width="12" style="4"/>
    <col min="12" max="12" width="11.88671875" style="4" customWidth="1"/>
    <col min="13" max="16384" width="12" style="4"/>
  </cols>
  <sheetData>
    <row r="1" spans="1:17" x14ac:dyDescent="0.4">
      <c r="A1" s="1" t="s">
        <v>302</v>
      </c>
      <c r="B1" s="2"/>
      <c r="C1" s="2"/>
      <c r="D1" s="2"/>
      <c r="E1" s="2"/>
      <c r="F1" s="2"/>
      <c r="G1" s="2"/>
      <c r="H1" s="2"/>
      <c r="I1" s="2"/>
      <c r="J1" s="2"/>
      <c r="K1" s="2"/>
      <c r="L1" s="2"/>
      <c r="M1" s="2"/>
      <c r="N1" s="2"/>
      <c r="O1" s="2"/>
      <c r="P1" s="2"/>
      <c r="Q1" s="3"/>
    </row>
    <row r="2" spans="1:17" x14ac:dyDescent="0.4">
      <c r="A2" s="5" t="s">
        <v>538</v>
      </c>
      <c r="B2" s="6"/>
      <c r="C2" s="6"/>
      <c r="D2" s="6"/>
      <c r="E2" s="6"/>
      <c r="F2" s="6"/>
      <c r="G2" s="6"/>
      <c r="H2" s="6"/>
      <c r="I2" s="6"/>
      <c r="J2" s="6"/>
      <c r="K2" s="6"/>
      <c r="L2" s="6"/>
      <c r="M2" s="6"/>
      <c r="N2" s="6"/>
      <c r="O2" s="6"/>
      <c r="P2" s="6"/>
      <c r="Q2" s="7"/>
    </row>
    <row r="3" spans="1:17" x14ac:dyDescent="0.4">
      <c r="A3" s="8" t="s">
        <v>537</v>
      </c>
      <c r="B3" s="9"/>
      <c r="C3" s="9"/>
      <c r="D3" s="9"/>
      <c r="E3" s="9"/>
      <c r="F3" s="9"/>
      <c r="G3" s="9"/>
      <c r="H3" s="9"/>
      <c r="I3" s="9"/>
      <c r="J3" s="9"/>
      <c r="K3" s="9"/>
      <c r="L3" s="9"/>
      <c r="M3" s="9"/>
      <c r="N3" s="9"/>
      <c r="O3" s="9"/>
      <c r="P3" s="9"/>
      <c r="Q3" s="10"/>
    </row>
    <row r="4" spans="1:17" s="12" customFormat="1" x14ac:dyDescent="0.4">
      <c r="A4" s="11"/>
      <c r="B4" s="11"/>
      <c r="C4" s="11"/>
      <c r="D4" s="11"/>
      <c r="E4" s="11"/>
      <c r="F4" s="11"/>
      <c r="G4" s="11"/>
      <c r="H4" s="11"/>
      <c r="I4" s="11"/>
      <c r="J4" s="11"/>
      <c r="K4" s="11"/>
      <c r="L4" s="11"/>
      <c r="M4" s="11"/>
      <c r="N4" s="11"/>
      <c r="O4" s="11"/>
      <c r="P4" s="11"/>
      <c r="Q4" s="11"/>
    </row>
    <row r="5" spans="1:17" ht="18" customHeight="1" x14ac:dyDescent="0.4">
      <c r="A5" s="13" t="s">
        <v>0</v>
      </c>
      <c r="B5" s="14"/>
      <c r="C5" s="14"/>
      <c r="D5" s="14"/>
      <c r="E5" s="14"/>
      <c r="F5" s="14"/>
      <c r="G5" s="14"/>
      <c r="H5" s="14"/>
      <c r="I5" s="14"/>
      <c r="J5" s="14"/>
      <c r="K5" s="14"/>
      <c r="L5" s="14"/>
      <c r="M5" s="14"/>
      <c r="N5" s="14"/>
      <c r="O5" s="14"/>
      <c r="P5" s="14"/>
      <c r="Q5" s="15"/>
    </row>
    <row r="6" spans="1:17" x14ac:dyDescent="0.4">
      <c r="A6" s="16" t="s">
        <v>536</v>
      </c>
      <c r="B6" s="17"/>
      <c r="C6" s="17"/>
      <c r="D6" s="17"/>
      <c r="E6" s="17"/>
      <c r="F6" s="17"/>
      <c r="G6" s="17"/>
      <c r="H6" s="17"/>
      <c r="I6" s="17"/>
      <c r="J6" s="17"/>
      <c r="K6" s="17"/>
      <c r="L6" s="17"/>
      <c r="M6" s="17"/>
      <c r="N6" s="17"/>
      <c r="O6" s="17"/>
      <c r="P6" s="17"/>
      <c r="Q6" s="18"/>
    </row>
    <row r="7" spans="1:17" x14ac:dyDescent="0.4">
      <c r="A7" s="19"/>
      <c r="B7" s="20"/>
      <c r="C7" s="20"/>
      <c r="D7" s="20"/>
      <c r="E7" s="20"/>
      <c r="F7" s="20"/>
      <c r="G7" s="20"/>
      <c r="H7" s="20"/>
      <c r="I7" s="20"/>
      <c r="J7" s="20"/>
      <c r="K7" s="20"/>
      <c r="L7" s="20"/>
      <c r="M7" s="20"/>
      <c r="N7" s="20"/>
      <c r="O7" s="20"/>
      <c r="P7" s="20"/>
      <c r="Q7" s="21"/>
    </row>
    <row r="8" spans="1:17" s="120" customFormat="1" x14ac:dyDescent="0.4"/>
    <row r="9" spans="1:17" x14ac:dyDescent="0.4">
      <c r="D9" s="4" t="s">
        <v>535</v>
      </c>
    </row>
    <row r="10" spans="1:17" s="120" customFormat="1" x14ac:dyDescent="0.4">
      <c r="A10" s="120" t="s">
        <v>400</v>
      </c>
      <c r="D10" s="120">
        <v>300000</v>
      </c>
    </row>
    <row r="11" spans="1:17" s="120" customFormat="1" x14ac:dyDescent="0.4">
      <c r="A11" s="120" t="s">
        <v>534</v>
      </c>
      <c r="C11" s="138">
        <v>180000</v>
      </c>
      <c r="D11" s="138"/>
    </row>
    <row r="12" spans="1:17" s="120" customFormat="1" x14ac:dyDescent="0.4">
      <c r="A12" s="120" t="s">
        <v>533</v>
      </c>
      <c r="D12" s="120">
        <f>+D10-C11</f>
        <v>120000</v>
      </c>
    </row>
    <row r="13" spans="1:17" x14ac:dyDescent="0.4">
      <c r="A13" s="4" t="s">
        <v>532</v>
      </c>
    </row>
    <row r="14" spans="1:17" x14ac:dyDescent="0.4">
      <c r="A14" s="4" t="s">
        <v>531</v>
      </c>
      <c r="C14" s="4">
        <v>39000</v>
      </c>
    </row>
    <row r="15" spans="1:17" x14ac:dyDescent="0.4">
      <c r="A15" s="4" t="s">
        <v>530</v>
      </c>
      <c r="C15" s="42">
        <v>3000</v>
      </c>
      <c r="D15" s="42">
        <f>+SUM(C14:C15)</f>
        <v>42000</v>
      </c>
    </row>
    <row r="16" spans="1:17" x14ac:dyDescent="0.4">
      <c r="A16" s="4" t="s">
        <v>529</v>
      </c>
      <c r="D16" s="149">
        <f>+D12-D15</f>
        <v>78000</v>
      </c>
      <c r="E16" s="4" t="s">
        <v>528</v>
      </c>
    </row>
    <row r="17" spans="1:5" x14ac:dyDescent="0.4">
      <c r="E17" s="4" t="s">
        <v>527</v>
      </c>
    </row>
    <row r="18" spans="1:5" x14ac:dyDescent="0.4">
      <c r="A18" s="4" t="s">
        <v>526</v>
      </c>
    </row>
    <row r="19" spans="1:5" x14ac:dyDescent="0.4">
      <c r="A19" s="4" t="s">
        <v>525</v>
      </c>
      <c r="C19" s="4">
        <v>48000</v>
      </c>
    </row>
    <row r="20" spans="1:5" x14ac:dyDescent="0.4">
      <c r="A20" s="4" t="s">
        <v>524</v>
      </c>
      <c r="C20" s="4">
        <v>13500</v>
      </c>
    </row>
    <row r="21" spans="1:5" x14ac:dyDescent="0.4">
      <c r="A21" s="4" t="s">
        <v>523</v>
      </c>
      <c r="C21" s="42">
        <v>64500</v>
      </c>
      <c r="D21" s="42">
        <f>+SUM(C19:C21)</f>
        <v>126000</v>
      </c>
    </row>
    <row r="22" spans="1:5" x14ac:dyDescent="0.4">
      <c r="A22" s="4" t="s">
        <v>393</v>
      </c>
      <c r="D22" s="136">
        <f>+D16-D21</f>
        <v>-48000</v>
      </c>
    </row>
  </sheetData>
  <phoneticPr fontId="3"/>
  <pageMargins left="0.25" right="0.25"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21</vt:i4>
      </vt:variant>
    </vt:vector>
  </HeadingPairs>
  <TitlesOfParts>
    <vt:vector size="21" baseType="lpstr">
      <vt:lpstr>目次</vt:lpstr>
      <vt:lpstr>例題 1章</vt:lpstr>
      <vt:lpstr>例題 2章</vt:lpstr>
      <vt:lpstr>①</vt:lpstr>
      <vt:lpstr>②</vt:lpstr>
      <vt:lpstr>③</vt:lpstr>
      <vt:lpstr>④</vt:lpstr>
      <vt:lpstr>⑤</vt:lpstr>
      <vt:lpstr>⑥</vt:lpstr>
      <vt:lpstr>⑦</vt:lpstr>
      <vt:lpstr>⑧</vt:lpstr>
      <vt:lpstr>⑨</vt:lpstr>
      <vt:lpstr>⑩</vt:lpstr>
      <vt:lpstr>⑪</vt:lpstr>
      <vt:lpstr>⑫</vt:lpstr>
      <vt:lpstr>⑬</vt:lpstr>
      <vt:lpstr>⑭</vt:lpstr>
      <vt:lpstr>⑮</vt:lpstr>
      <vt:lpstr>⑰</vt:lpstr>
      <vt:lpstr>⑱</vt:lpstr>
      <vt:lpstr>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2017-06-28T06:52:20Z</cp:lastPrinted>
  <dcterms:created xsi:type="dcterms:W3CDTF">2017-06-21T10:42:28Z</dcterms:created>
  <dcterms:modified xsi:type="dcterms:W3CDTF">2018-07-16T22:05:43Z</dcterms:modified>
</cp:coreProperties>
</file>